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11"/>
  <workbookPr/>
  <xr:revisionPtr revIDLastSave="0" documentId="8_{015194BC-F3C3-438E-A06B-87D0E9B5AA84}" xr6:coauthVersionLast="47" xr6:coauthVersionMax="47" xr10:uidLastSave="{00000000-0000-0000-0000-000000000000}"/>
  <bookViews>
    <workbookView xWindow="240" yWindow="105" windowWidth="14805" windowHeight="8010" xr2:uid="{00000000-000D-0000-FFFF-FFFF00000000}"/>
  </bookViews>
  <sheets>
    <sheet name="Read Me" sheetId="7" r:id="rId1"/>
    <sheet name="Volume Evaluation" sheetId="6" r:id="rId2"/>
    <sheet name="Example 1" sheetId="5" r:id="rId3"/>
    <sheet name="Example 2" sheetId="4" r:id="rId4"/>
    <sheet name="soil" sheetId="2" r:id="rId5"/>
    <sheet name="landcover" sheetId="3"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4" i="6" l="1"/>
  <c r="B15" i="4"/>
  <c r="B12" i="4"/>
  <c r="B15" i="5"/>
  <c r="B12" i="5"/>
  <c r="B19" i="6"/>
  <c r="B12" i="6"/>
  <c r="Y31" i="6"/>
  <c r="Y24" i="6"/>
  <c r="X24" i="6"/>
  <c r="W24" i="6"/>
  <c r="V24" i="6"/>
  <c r="U24" i="6"/>
  <c r="T24" i="6"/>
  <c r="S24" i="6"/>
  <c r="R24" i="6"/>
  <c r="Q24" i="6"/>
  <c r="P24" i="6"/>
  <c r="O24" i="6"/>
  <c r="N24" i="6"/>
  <c r="M24" i="6"/>
  <c r="L24" i="6"/>
  <c r="K24" i="6"/>
  <c r="J24" i="6"/>
  <c r="I24" i="6"/>
  <c r="H24" i="6"/>
  <c r="G24" i="6"/>
  <c r="F24" i="6"/>
  <c r="E24" i="6"/>
  <c r="D24" i="6"/>
  <c r="C24" i="6"/>
  <c r="B24" i="6"/>
  <c r="B14" i="6"/>
  <c r="B15" i="6" s="1"/>
  <c r="B9" i="6"/>
  <c r="B5" i="6"/>
  <c r="Y31" i="5"/>
  <c r="B5" i="5"/>
  <c r="B19" i="5"/>
  <c r="B14" i="5"/>
  <c r="B9" i="5"/>
  <c r="L27" i="5" s="1"/>
  <c r="B19" i="4"/>
  <c r="O24" i="4"/>
  <c r="P24" i="4"/>
  <c r="Q24" i="4"/>
  <c r="R24" i="4"/>
  <c r="S24" i="4"/>
  <c r="T24" i="4"/>
  <c r="U24" i="4"/>
  <c r="V24" i="4"/>
  <c r="W24" i="4"/>
  <c r="X24" i="4"/>
  <c r="Y24" i="4"/>
  <c r="C24" i="4"/>
  <c r="D24" i="4"/>
  <c r="E24" i="4"/>
  <c r="F24" i="4"/>
  <c r="G24" i="4"/>
  <c r="H24" i="4"/>
  <c r="I24" i="4"/>
  <c r="J24" i="4"/>
  <c r="K24" i="4"/>
  <c r="L24" i="4"/>
  <c r="M24" i="4"/>
  <c r="N24" i="4"/>
  <c r="B24" i="4"/>
  <c r="B5" i="4" s="1"/>
  <c r="B14" i="4"/>
  <c r="B9" i="4"/>
  <c r="N27" i="4" l="1"/>
  <c r="C27" i="4"/>
  <c r="Y27" i="4"/>
  <c r="X27" i="4"/>
  <c r="W27" i="4"/>
  <c r="V27" i="4"/>
  <c r="U27" i="4"/>
  <c r="T27" i="4"/>
  <c r="S27" i="4"/>
  <c r="R27" i="4"/>
  <c r="Q27" i="4"/>
  <c r="P27" i="4"/>
  <c r="O27" i="4"/>
  <c r="B28" i="6"/>
  <c r="B27" i="6"/>
  <c r="C27" i="6"/>
  <c r="D27" i="6"/>
  <c r="E27" i="6"/>
  <c r="F27" i="6"/>
  <c r="G27" i="6"/>
  <c r="H27" i="6"/>
  <c r="I27" i="6"/>
  <c r="J27" i="6"/>
  <c r="K27" i="6"/>
  <c r="L27" i="6"/>
  <c r="M27" i="6"/>
  <c r="N27" i="6"/>
  <c r="O27" i="6"/>
  <c r="P27" i="6"/>
  <c r="Q27" i="6"/>
  <c r="R27" i="6"/>
  <c r="S27" i="6"/>
  <c r="T27" i="6"/>
  <c r="U27" i="6"/>
  <c r="V27" i="6"/>
  <c r="W27" i="6"/>
  <c r="X27" i="6"/>
  <c r="Y27" i="6"/>
  <c r="B27" i="5"/>
  <c r="B28" i="5" s="1" a="1"/>
  <c r="B28" i="5" s="1"/>
  <c r="C27" i="5"/>
  <c r="D27" i="5"/>
  <c r="E27" i="5"/>
  <c r="F27" i="5"/>
  <c r="G27" i="5"/>
  <c r="H27" i="5"/>
  <c r="I27" i="5"/>
  <c r="J27" i="5"/>
  <c r="K27" i="5"/>
  <c r="M27" i="5"/>
  <c r="N27" i="5"/>
  <c r="O27" i="5"/>
  <c r="P27" i="5"/>
  <c r="Q27" i="5"/>
  <c r="R27" i="5"/>
  <c r="S27" i="5"/>
  <c r="T27" i="5"/>
  <c r="U27" i="5"/>
  <c r="V27" i="5"/>
  <c r="W27" i="5"/>
  <c r="X27" i="5"/>
  <c r="Y27" i="5"/>
  <c r="M27" i="4"/>
  <c r="L27" i="4"/>
  <c r="K27" i="4"/>
  <c r="J27" i="4"/>
  <c r="I27" i="4"/>
  <c r="H27" i="4"/>
  <c r="G27" i="4"/>
  <c r="F27" i="4"/>
  <c r="E27" i="4"/>
  <c r="D27" i="4"/>
  <c r="B27" i="4"/>
  <c r="B28" i="4" s="1" a="1"/>
  <c r="B28" i="4" s="1"/>
  <c r="B29" i="4" l="1"/>
  <c r="B30" i="4" a="1"/>
  <c r="B30" i="4" s="1"/>
  <c r="B29" i="6"/>
  <c r="B30" i="6" s="1" a="1"/>
  <c r="B30" i="6" s="1"/>
  <c r="B29" i="5"/>
  <c r="B30" i="5" s="1" a="1"/>
  <c r="B30" i="5" s="1"/>
  <c r="B31" i="4" l="1"/>
  <c r="C26" i="4"/>
  <c r="C28" i="4" s="1" a="1"/>
  <c r="C28" i="4" s="1"/>
  <c r="B31" i="6"/>
  <c r="C26" i="6"/>
  <c r="B31" i="5"/>
  <c r="C26" i="5"/>
  <c r="C28" i="5" s="1" a="1"/>
  <c r="C28" i="5" s="1"/>
  <c r="C29" i="4" l="1"/>
  <c r="C30" i="4" a="1"/>
  <c r="C30" i="4" s="1"/>
  <c r="C29" i="6"/>
  <c r="C28" i="6"/>
  <c r="C30" i="6" s="1" a="1"/>
  <c r="C30" i="6" s="1"/>
  <c r="C29" i="5"/>
  <c r="C30" i="5" a="1"/>
  <c r="C30" i="5" s="1"/>
  <c r="C31" i="4" l="1"/>
  <c r="D26" i="4"/>
  <c r="D28" i="4" s="1" a="1"/>
  <c r="D28" i="4" s="1"/>
  <c r="C31" i="6"/>
  <c r="D26" i="6"/>
  <c r="C31" i="5"/>
  <c r="D26" i="5"/>
  <c r="D28" i="5" s="1" a="1"/>
  <c r="D28" i="5" s="1"/>
  <c r="D29" i="4" l="1"/>
  <c r="D30" i="4" a="1"/>
  <c r="D30" i="4" s="1"/>
  <c r="D29" i="6"/>
  <c r="D28" i="6"/>
  <c r="D30" i="6" s="1" a="1"/>
  <c r="D30" i="6" s="1"/>
  <c r="D29" i="5"/>
  <c r="D30" i="5" a="1"/>
  <c r="D30" i="5" s="1"/>
  <c r="D31" i="4" l="1"/>
  <c r="E26" i="4"/>
  <c r="E28" i="4" s="1" a="1"/>
  <c r="E28" i="4" s="1"/>
  <c r="D31" i="6"/>
  <c r="E26" i="6"/>
  <c r="D31" i="5"/>
  <c r="E26" i="5"/>
  <c r="E28" i="5" s="1" a="1"/>
  <c r="E28" i="5" s="1"/>
  <c r="E29" i="4" l="1"/>
  <c r="E30" i="4" a="1"/>
  <c r="E30" i="4" s="1"/>
  <c r="E29" i="6"/>
  <c r="E28" i="6"/>
  <c r="E30" i="6" s="1" a="1"/>
  <c r="E30" i="6" s="1"/>
  <c r="E29" i="5"/>
  <c r="E30" i="5" a="1"/>
  <c r="E30" i="5" s="1"/>
  <c r="E31" i="4" l="1"/>
  <c r="F26" i="4"/>
  <c r="F28" i="4" s="1" a="1"/>
  <c r="F28" i="4" s="1"/>
  <c r="E31" i="6"/>
  <c r="F26" i="6"/>
  <c r="E31" i="5"/>
  <c r="F26" i="5"/>
  <c r="F28" i="5" s="1" a="1"/>
  <c r="F28" i="5" s="1"/>
  <c r="F29" i="4" l="1"/>
  <c r="F30" i="4" a="1"/>
  <c r="F30" i="4" s="1"/>
  <c r="F29" i="6"/>
  <c r="F28" i="6"/>
  <c r="F30" i="6" s="1" a="1"/>
  <c r="F30" i="6" s="1"/>
  <c r="F29" i="5"/>
  <c r="F30" i="5" a="1"/>
  <c r="F30" i="5" s="1"/>
  <c r="F31" i="4" l="1"/>
  <c r="G26" i="4"/>
  <c r="G28" i="4" s="1" a="1"/>
  <c r="G28" i="4" s="1"/>
  <c r="F31" i="6"/>
  <c r="G26" i="6"/>
  <c r="F31" i="5"/>
  <c r="G26" i="5"/>
  <c r="G28" i="5" s="1" a="1"/>
  <c r="G28" i="5" s="1"/>
  <c r="G29" i="4" l="1"/>
  <c r="G30" i="4" a="1"/>
  <c r="G30" i="4" s="1"/>
  <c r="G29" i="6"/>
  <c r="G28" i="6"/>
  <c r="G30" i="6" s="1" a="1"/>
  <c r="G30" i="6" s="1"/>
  <c r="G29" i="5"/>
  <c r="G30" i="5" a="1"/>
  <c r="G30" i="5" s="1"/>
  <c r="G31" i="4" l="1"/>
  <c r="H26" i="4"/>
  <c r="H28" i="4" s="1" a="1"/>
  <c r="H28" i="4" s="1"/>
  <c r="G31" i="6"/>
  <c r="H26" i="6"/>
  <c r="G31" i="5"/>
  <c r="H26" i="5"/>
  <c r="H28" i="5" s="1" a="1"/>
  <c r="H28" i="5" s="1"/>
  <c r="H29" i="4" l="1"/>
  <c r="H30" i="4" a="1"/>
  <c r="H30" i="4" s="1"/>
  <c r="H29" i="6"/>
  <c r="H28" i="6"/>
  <c r="H30" i="6" s="1" a="1"/>
  <c r="H30" i="6" s="1"/>
  <c r="H29" i="5"/>
  <c r="H30" i="5" a="1"/>
  <c r="H30" i="5" s="1"/>
  <c r="H31" i="4" l="1"/>
  <c r="I26" i="4"/>
  <c r="I28" i="4" s="1" a="1"/>
  <c r="I28" i="4" s="1"/>
  <c r="H31" i="6"/>
  <c r="I26" i="6"/>
  <c r="H31" i="5"/>
  <c r="I26" i="5"/>
  <c r="I28" i="5" s="1" a="1"/>
  <c r="I28" i="5" s="1"/>
  <c r="I29" i="4" l="1"/>
  <c r="I30" i="4" a="1"/>
  <c r="I30" i="4" s="1"/>
  <c r="I29" i="6"/>
  <c r="I28" i="6"/>
  <c r="I30" i="6" s="1" a="1"/>
  <c r="I30" i="6" s="1"/>
  <c r="I29" i="5"/>
  <c r="I30" i="5" a="1"/>
  <c r="I30" i="5" s="1"/>
  <c r="I31" i="4" l="1"/>
  <c r="J26" i="4"/>
  <c r="J28" i="4" s="1" a="1"/>
  <c r="J28" i="4" s="1"/>
  <c r="I31" i="6"/>
  <c r="J26" i="6"/>
  <c r="I31" i="5"/>
  <c r="J26" i="5"/>
  <c r="J28" i="5" s="1" a="1"/>
  <c r="J28" i="5" s="1"/>
  <c r="J29" i="4" l="1"/>
  <c r="J30" i="4" a="1"/>
  <c r="J30" i="4" s="1"/>
  <c r="J29" i="6"/>
  <c r="J28" i="6"/>
  <c r="J30" i="6" s="1" a="1"/>
  <c r="J30" i="6" s="1"/>
  <c r="J29" i="5"/>
  <c r="J30" i="5" a="1"/>
  <c r="J30" i="5" s="1"/>
  <c r="J31" i="4" l="1"/>
  <c r="K26" i="4"/>
  <c r="K28" i="4" s="1" a="1"/>
  <c r="K28" i="4" s="1"/>
  <c r="J31" i="6"/>
  <c r="K26" i="6"/>
  <c r="J31" i="5"/>
  <c r="K26" i="5"/>
  <c r="K28" i="5" l="1" a="1"/>
  <c r="K28" i="5" s="1"/>
  <c r="K29" i="5"/>
  <c r="K29" i="4"/>
  <c r="K30" i="4" a="1"/>
  <c r="K30" i="4" s="1"/>
  <c r="K29" i="6"/>
  <c r="K28" i="6"/>
  <c r="K30" i="6" s="1" a="1"/>
  <c r="K30" i="6" s="1"/>
  <c r="K30" i="5" a="1"/>
  <c r="K30" i="5" s="1"/>
  <c r="K31" i="4" l="1"/>
  <c r="L26" i="4"/>
  <c r="L28" i="4" s="1" a="1"/>
  <c r="L28" i="4" s="1"/>
  <c r="K31" i="6"/>
  <c r="L26" i="6"/>
  <c r="K31" i="5"/>
  <c r="L26" i="5"/>
  <c r="L28" i="5" s="1" a="1"/>
  <c r="L28" i="5" s="1"/>
  <c r="L29" i="4" l="1"/>
  <c r="L30" i="4" a="1"/>
  <c r="L30" i="4" s="1"/>
  <c r="L29" i="6"/>
  <c r="L28" i="6"/>
  <c r="L30" i="6" s="1" a="1"/>
  <c r="L30" i="6" s="1"/>
  <c r="L29" i="5"/>
  <c r="L31" i="4" l="1"/>
  <c r="M26" i="4"/>
  <c r="M28" i="4" s="1" a="1"/>
  <c r="M28" i="4" s="1"/>
  <c r="L31" i="6"/>
  <c r="M26" i="6"/>
  <c r="M29" i="4" l="1"/>
  <c r="M30" i="4" a="1"/>
  <c r="M30" i="4" s="1"/>
  <c r="M29" i="6"/>
  <c r="M28" i="6"/>
  <c r="M30" i="6" s="1" a="1"/>
  <c r="M30" i="6" s="1"/>
  <c r="M31" i="4" l="1"/>
  <c r="N26" i="4"/>
  <c r="N28" i="4" s="1" a="1"/>
  <c r="N28" i="4" s="1"/>
  <c r="M31" i="6"/>
  <c r="N26" i="6"/>
  <c r="N29" i="4" l="1"/>
  <c r="N30" i="4" a="1"/>
  <c r="N30" i="4" s="1"/>
  <c r="N29" i="6"/>
  <c r="N28" i="6"/>
  <c r="N30" i="6" s="1" a="1"/>
  <c r="N30" i="6" s="1"/>
  <c r="O26" i="4" l="1"/>
  <c r="O28" i="4" s="1" a="1"/>
  <c r="O28" i="4" s="1"/>
  <c r="N31" i="4"/>
  <c r="N31" i="6"/>
  <c r="O26" i="6"/>
  <c r="O29" i="4" l="1"/>
  <c r="O30" i="4" a="1"/>
  <c r="O30" i="4" s="1"/>
  <c r="O29" i="6"/>
  <c r="O28" i="6"/>
  <c r="O30" i="6" s="1" a="1"/>
  <c r="O30" i="6" s="1"/>
  <c r="P26" i="4" l="1"/>
  <c r="P28" i="4" s="1" a="1"/>
  <c r="P28" i="4" s="1"/>
  <c r="O31" i="4"/>
  <c r="O31" i="6"/>
  <c r="P26" i="6"/>
  <c r="P29" i="4" l="1"/>
  <c r="P30" i="4" a="1"/>
  <c r="P30" i="4" s="1"/>
  <c r="P29" i="6"/>
  <c r="P28" i="6"/>
  <c r="P30" i="6" s="1" a="1"/>
  <c r="P30" i="6" s="1"/>
  <c r="Q26" i="4" l="1"/>
  <c r="Q28" i="4" s="1" a="1"/>
  <c r="Q28" i="4" s="1"/>
  <c r="P31" i="4"/>
  <c r="P31" i="6"/>
  <c r="Q26" i="6"/>
  <c r="Q29" i="4" l="1"/>
  <c r="Q30" i="4" a="1"/>
  <c r="Q30" i="4" s="1"/>
  <c r="Q29" i="6"/>
  <c r="Q28" i="6"/>
  <c r="Q30" i="6" s="1" a="1"/>
  <c r="Q30" i="6" s="1"/>
  <c r="R26" i="4" l="1"/>
  <c r="R28" i="4" s="1" a="1"/>
  <c r="R28" i="4" s="1"/>
  <c r="Q31" i="4"/>
  <c r="Q31" i="6"/>
  <c r="R26" i="6"/>
  <c r="R29" i="4" l="1"/>
  <c r="R30" i="4" a="1"/>
  <c r="R30" i="4" s="1"/>
  <c r="R29" i="6"/>
  <c r="R28" i="6"/>
  <c r="R30" i="6" s="1" a="1"/>
  <c r="R30" i="6" s="1"/>
  <c r="S26" i="4" l="1"/>
  <c r="S28" i="4" s="1" a="1"/>
  <c r="S28" i="4" s="1"/>
  <c r="R31" i="4"/>
  <c r="R31" i="6"/>
  <c r="S26" i="6"/>
  <c r="S29" i="4" l="1"/>
  <c r="S30" i="4" a="1"/>
  <c r="S30" i="4" s="1"/>
  <c r="S29" i="6"/>
  <c r="S28" i="6"/>
  <c r="S30" i="6" s="1" a="1"/>
  <c r="S30" i="6" s="1"/>
  <c r="T26" i="4" l="1"/>
  <c r="T28" i="4" s="1" a="1"/>
  <c r="T28" i="4" s="1"/>
  <c r="S31" i="4"/>
  <c r="S31" i="6"/>
  <c r="T26" i="6"/>
  <c r="T29" i="4" l="1"/>
  <c r="T30" i="4" a="1"/>
  <c r="T30" i="4" s="1"/>
  <c r="T29" i="6"/>
  <c r="T28" i="6"/>
  <c r="T30" i="6" s="1" a="1"/>
  <c r="T30" i="6" s="1"/>
  <c r="U26" i="4" l="1"/>
  <c r="U28" i="4" s="1" a="1"/>
  <c r="U28" i="4" s="1"/>
  <c r="T31" i="4"/>
  <c r="T31" i="6"/>
  <c r="U26" i="6"/>
  <c r="U29" i="4" l="1"/>
  <c r="U30" i="4" a="1"/>
  <c r="U30" i="4" s="1"/>
  <c r="U29" i="6"/>
  <c r="U28" i="6"/>
  <c r="U30" i="6" s="1" a="1"/>
  <c r="U30" i="6" s="1"/>
  <c r="V26" i="4" l="1"/>
  <c r="V28" i="4" s="1" a="1"/>
  <c r="V28" i="4" s="1"/>
  <c r="U31" i="4"/>
  <c r="U31" i="6"/>
  <c r="V26" i="6"/>
  <c r="V29" i="4" l="1"/>
  <c r="V30" i="4"/>
  <c r="V29" i="6"/>
  <c r="V28" i="6"/>
  <c r="W26" i="4" l="1"/>
  <c r="W28" i="4" s="1" a="1"/>
  <c r="W28" i="4" s="1"/>
  <c r="V31" i="4"/>
  <c r="V30" i="6"/>
  <c r="W29" i="4" l="1"/>
  <c r="W30" i="4"/>
  <c r="V31" i="6"/>
  <c r="W26" i="6"/>
  <c r="X26" i="4" l="1"/>
  <c r="X28" i="4" s="1" a="1"/>
  <c r="X28" i="4" s="1"/>
  <c r="W31" i="4"/>
  <c r="W29" i="6"/>
  <c r="W28" i="6"/>
  <c r="Y31" i="4"/>
  <c r="X29" i="4" l="1"/>
  <c r="X30" i="4"/>
  <c r="W30" i="6"/>
  <c r="Y26" i="4" l="1"/>
  <c r="Y28" i="4" s="1" a="1"/>
  <c r="Y28" i="4" s="1"/>
  <c r="B34" i="4" s="1"/>
  <c r="X31" i="4"/>
  <c r="W31" i="6"/>
  <c r="X26" i="6"/>
  <c r="Y29" i="4" l="1"/>
  <c r="X29" i="6"/>
  <c r="X28" i="6"/>
  <c r="X30" i="6" l="1"/>
  <c r="X31" i="6" l="1"/>
  <c r="Y26" i="6"/>
  <c r="Y29" i="6" l="1"/>
  <c r="Y28" i="6"/>
  <c r="L30" i="5" a="1"/>
  <c r="L30" i="5" s="1"/>
  <c r="L31" i="5" s="1"/>
  <c r="M26" i="5"/>
  <c r="M28" i="5" s="1" a="1"/>
  <c r="M28" i="5" s="1"/>
  <c r="M29" i="5" l="1"/>
  <c r="M30" i="5" a="1"/>
  <c r="M30" i="5" s="1"/>
  <c r="M31" i="5" l="1"/>
  <c r="N26" i="5"/>
  <c r="N28" i="5" s="1" a="1"/>
  <c r="N28" i="5" s="1"/>
  <c r="N29" i="5" l="1"/>
  <c r="N30" i="5" a="1"/>
  <c r="N30" i="5" s="1"/>
  <c r="N31" i="5" l="1"/>
  <c r="O26" i="5"/>
  <c r="O28" i="5" s="1" a="1"/>
  <c r="O28" i="5" s="1"/>
  <c r="O29" i="5" l="1"/>
  <c r="O30" i="5" a="1"/>
  <c r="O30" i="5" s="1"/>
  <c r="O31" i="5" l="1"/>
  <c r="P26" i="5"/>
  <c r="P28" i="5" s="1" a="1"/>
  <c r="P28" i="5" s="1"/>
  <c r="P29" i="5" l="1"/>
  <c r="P30" i="5" a="1"/>
  <c r="P30" i="5" s="1"/>
  <c r="P31" i="5" l="1"/>
  <c r="Q26" i="5"/>
  <c r="Q28" i="5" s="1" a="1"/>
  <c r="Q28" i="5" s="1"/>
  <c r="Q29" i="5" l="1"/>
  <c r="Q30" i="5" a="1"/>
  <c r="Q30" i="5" s="1"/>
  <c r="Q31" i="5" l="1"/>
  <c r="R26" i="5"/>
  <c r="R28" i="5" s="1" a="1"/>
  <c r="R28" i="5" s="1"/>
  <c r="R29" i="5" l="1"/>
  <c r="R30" i="5" a="1"/>
  <c r="R30" i="5" s="1"/>
  <c r="R31" i="5" l="1"/>
  <c r="S26" i="5"/>
  <c r="S28" i="5" s="1" a="1"/>
  <c r="S28" i="5" s="1"/>
  <c r="S29" i="5" l="1"/>
  <c r="S30" i="5" a="1"/>
  <c r="S30" i="5" s="1"/>
  <c r="S31" i="5" l="1"/>
  <c r="T26" i="5"/>
  <c r="T28" i="5" s="1" a="1"/>
  <c r="T28" i="5" s="1"/>
  <c r="T29" i="5" l="1"/>
  <c r="T30" i="5" a="1"/>
  <c r="T30" i="5" s="1"/>
  <c r="T31" i="5" l="1"/>
  <c r="U26" i="5"/>
  <c r="U28" i="5" s="1" a="1"/>
  <c r="U28" i="5" s="1"/>
  <c r="U29" i="5" l="1"/>
  <c r="U30" i="5" a="1"/>
  <c r="U30" i="5" s="1"/>
  <c r="U31" i="5" l="1"/>
  <c r="V26" i="5"/>
  <c r="V28" i="5" s="1" a="1"/>
  <c r="V28" i="5" s="1"/>
  <c r="V29" i="5" l="1"/>
  <c r="V30" i="5" s="1"/>
  <c r="V31" i="5" l="1"/>
  <c r="W26" i="5"/>
  <c r="W28" i="5" s="1" a="1"/>
  <c r="W28" i="5" s="1"/>
  <c r="W29" i="5" l="1"/>
  <c r="W30" i="5" s="1"/>
  <c r="W31" i="5" l="1"/>
  <c r="X26" i="5"/>
  <c r="X28" i="5" s="1" a="1"/>
  <c r="X28" i="5" s="1"/>
  <c r="X29" i="5" l="1"/>
  <c r="X30" i="5" s="1"/>
  <c r="X31" i="5" l="1"/>
  <c r="Y26" i="5"/>
  <c r="Y28" i="5" s="1" a="1"/>
  <c r="Y28" i="5" s="1"/>
  <c r="B34" i="5" s="1"/>
  <c r="Y29" i="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<sst xmlns="http://schemas.openxmlformats.org/spreadsheetml/2006/main" count="140" uniqueCount="83">
  <si>
    <t>Rain Garden Volume Evaluation Tool - Details and Instructions</t>
  </si>
  <si>
    <t>This tool can be used to estimate the volume of water inside a rain garden during a storm event.</t>
  </si>
  <si>
    <t xml:space="preserve">It makes many assumptions, such as the volume of water the rain garden can hold is based on it surface area x depth, the rain garden is installed with no slope, and the soil has a constant infiltration rate. </t>
  </si>
  <si>
    <t>Explore Example 1 and 2 to familiarize yourself with the spreadsheet. Example 1 is a small storm event where the rain garden does not reach its max capacity. Example 2 is a larger storm even where the maximum amount of water is reached and water overflows in addition to infiltrating.</t>
  </si>
  <si>
    <t xml:space="preserve">To use this tool, have already installed rain garden specs or planned rain garden specs, and an example storm. </t>
  </si>
  <si>
    <t xml:space="preserve">Yellow cells are locations where data/information is needed. </t>
  </si>
  <si>
    <t xml:space="preserve">Blue cells are equations that you should not adjust. </t>
  </si>
  <si>
    <t>Fill in rain garden specs in cells B2, B7, B8, B11, B3</t>
  </si>
  <si>
    <t>Fill in storm information in cells B3, B4, row 22, and row 23 or 24 depending on if your data is in mm or in.</t>
  </si>
  <si>
    <t xml:space="preserve">As you enter your information, the amount of water in the rain garden will populate as will the graph. </t>
  </si>
  <si>
    <t xml:space="preserve">The total amount of water captured and infiltrated could be an overestimate, as infiltration would slow down and cause more overflow than predicted in this tool. If no overflow, infiltration would be slower but likely the same amount. </t>
  </si>
  <si>
    <r>
      <rPr>
        <sz val="11"/>
        <color rgb="FF000000"/>
        <rFont val="Aptos Narrow"/>
        <scheme val="minor"/>
      </rPr>
      <t>For more information about designing, installing, and evaluaing rain gardens, visit</t>
    </r>
    <r>
      <rPr>
        <sz val="11"/>
        <color rgb="FF215C98"/>
        <rFont val="Aptos Narrow"/>
        <scheme val="minor"/>
      </rPr>
      <t xml:space="preserve"> https://education.americangeosciences.org/resources/rainss</t>
    </r>
  </si>
  <si>
    <t>Troubleshooting: Email lbrase@americangeosciences.org with any issues and questions.</t>
  </si>
  <si>
    <t>Rain Garden Evaluation</t>
  </si>
  <si>
    <t>Location</t>
  </si>
  <si>
    <t>(fill in)</t>
  </si>
  <si>
    <t>Storm Date</t>
  </si>
  <si>
    <t>Weather Data Link</t>
  </si>
  <si>
    <t>(link data)</t>
  </si>
  <si>
    <t>Storm (in)</t>
  </si>
  <si>
    <t>Drainage Area (ft2)</t>
  </si>
  <si>
    <t>Runoff Coefficient</t>
  </si>
  <si>
    <t>(see 'landcover' tab)</t>
  </si>
  <si>
    <t>Contributing Surface Area (ft2)</t>
  </si>
  <si>
    <t>rain garden area (ft2)</t>
  </si>
  <si>
    <t>rain garden area (in2)</t>
  </si>
  <si>
    <t xml:space="preserve">rain garden depth (in) </t>
  </si>
  <si>
    <t>Max volume of water in the rain garden (ft3)</t>
  </si>
  <si>
    <t>Max volume of water in the rain garden (in3)</t>
  </si>
  <si>
    <t xml:space="preserve">Soil Type </t>
  </si>
  <si>
    <t>Soil Infiltration Rate (in/hr)</t>
  </si>
  <si>
    <t>(see 'soil' tab)</t>
  </si>
  <si>
    <t>Infiltration Rate</t>
  </si>
  <si>
    <r>
      <rPr>
        <sz val="11"/>
        <color rgb="FF000000"/>
        <rFont val="Aptos Narrow"/>
        <scheme val="minor"/>
      </rPr>
      <t xml:space="preserve">(assuming constant infiltration of surface area of rain garden -- </t>
    </r>
    <r>
      <rPr>
        <sz val="11"/>
        <color rgb="FFFF0000"/>
        <rFont val="Aptos Narrow"/>
        <scheme val="minor"/>
      </rPr>
      <t>not valid for clay soils and high amounts of rainfall</t>
    </r>
    <r>
      <rPr>
        <sz val="11"/>
        <color rgb="FF000000"/>
        <rFont val="Aptos Narrow"/>
        <scheme val="minor"/>
      </rPr>
      <t>)</t>
    </r>
  </si>
  <si>
    <t>Time</t>
  </si>
  <si>
    <t>Precip (mm)</t>
  </si>
  <si>
    <t>Precip (in)</t>
  </si>
  <si>
    <t>Volume of water in the rain garden at 'start of hour' (in3)</t>
  </si>
  <si>
    <t>Amount of water being added (in3)</t>
  </si>
  <si>
    <t>Infiltration (in3)</t>
  </si>
  <si>
    <t>Overflow (in3)</t>
  </si>
  <si>
    <t>Volume of water in the rain garden at 'end of hour' (in3)</t>
  </si>
  <si>
    <t>Volume of water in the rain garden at 'end of hour' (ft3)</t>
  </si>
  <si>
    <t>Total Amount of Water Captured and Infiltrated into the Ground (ft3)</t>
  </si>
  <si>
    <t>Rain Garden Evaluation Example 1</t>
  </si>
  <si>
    <t>Deer Park HS</t>
  </si>
  <si>
    <t xml:space="preserve">Precipitation </t>
  </si>
  <si>
    <t>Rain Garden Evaluation Example 2</t>
  </si>
  <si>
    <t>Chicago O’hare Airport | Weather History &amp; Climate | Meteostat</t>
  </si>
  <si>
    <t>Soil Infiltration Rates</t>
  </si>
  <si>
    <t>Note: Rates below are assuming a relatively flat area. Rates will decrease as slope increases.</t>
  </si>
  <si>
    <t>in/hr</t>
  </si>
  <si>
    <t>coarse sand</t>
  </si>
  <si>
    <t>medium sand</t>
  </si>
  <si>
    <t>fine sand</t>
  </si>
  <si>
    <t>loamy sand</t>
  </si>
  <si>
    <t>sandy loam</t>
  </si>
  <si>
    <t>fine sandy loam</t>
  </si>
  <si>
    <t>very fine sandy loam</t>
  </si>
  <si>
    <t>silt loam</t>
  </si>
  <si>
    <t>silt</t>
  </si>
  <si>
    <t>sandy clay</t>
  </si>
  <si>
    <t>clay loam</t>
  </si>
  <si>
    <t>silty clay</t>
  </si>
  <si>
    <t>clay</t>
  </si>
  <si>
    <t>Landcover Runoff Coefficients</t>
  </si>
  <si>
    <t>Note: for low sloped areas, infiltration will occur more readily and therefore the runoff coefficient will be on the lower end. For more sloped areas, the runoff coefficient will be on the higher end.</t>
  </si>
  <si>
    <t>Business</t>
  </si>
  <si>
    <t>Downtown areas</t>
  </si>
  <si>
    <t>0.7-0.95</t>
  </si>
  <si>
    <t>Neighborhood areas</t>
  </si>
  <si>
    <t>0.5-0.7</t>
  </si>
  <si>
    <t>Industrial</t>
  </si>
  <si>
    <t>0.6-0.9</t>
  </si>
  <si>
    <t>Residential</t>
  </si>
  <si>
    <t>single-familar areas</t>
  </si>
  <si>
    <t>0.3-0.5</t>
  </si>
  <si>
    <t>Multi units, detached</t>
  </si>
  <si>
    <t>0.4-0.6</t>
  </si>
  <si>
    <t>Multi units, attached</t>
  </si>
  <si>
    <t>0.6-0.75</t>
  </si>
  <si>
    <t>Playgrounds</t>
  </si>
  <si>
    <t>0.2-0.35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</si>
</sst>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font>
      <sz val="11"/>
      <color theme="1"/>
      <name val="Aptos Narrow"/>
      <family val="2"/>
      <scheme val="minor"/>
    </font>
    <font>
      <u/>
      <sz val="11"/>
      <color theme="10"/>
      <name val="Aptos Narrow"/>
      <family val="2"/>
      <scheme val="minor"/>
    </font>
    <font>
      <sz val="11"/>
      <color rgb="FFFF0000"/>
      <name val="Aptos Narrow"/>
      <family val="2"/>
      <scheme val="minor"/>
    </font>
    <font>
      <b/>
      <sz val="11"/>
      <color theme="1"/>
      <name val="Aptos Narrow"/>
      <family val="2"/>
      <scheme val="minor"/>
    </font>
    <font>
      <b/>
      <sz val="16"/>
      <color theme="1"/>
      <name val="Aptos Narrow"/>
      <family val="2"/>
      <scheme val="minor"/>
    </font>
    <font>
      <sz val="11"/>
      <color rgb="FF000000"/>
      <name val="Aptos Narrow"/>
      <scheme val="minor"/>
    </font>
    <font>
      <sz val="11"/>
      <color rgb="FFFF0000"/>
      <name val="Aptos Narrow"/>
      <scheme val="minor"/>
    </font>
    <font>
      <sz val="11"/>
      <color theme="1"/>
      <name val="Aptos Narrow"/>
      <scheme val="minor"/>
    </font>
    <font>
      <sz val="11"/>
      <color rgb="FF215C98"/>
      <name val="Aptos Narrow"/>
      <scheme val="minor"/>
    </font>
  </fonts>
  <fills count="4">
    <fill>
      <patternFill patternType="none"/>
    </fill>
    <fill>
      <patternFill patternType="gray125"/>
    </fill>
    <fill>
      <patternFill patternType="solid">
        <fgColor rgb="FFFFFF00"/>
        <bgColor indexed="64"/>
      </patternFill>
    </fill>
    <fill>
      <patternFill patternType="solid">
        <fgColor theme="3" tint="0.89999084444715716"/>
        <bgColor indexed="64"/>
      </patternFill>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20">
    <xf numFmtId="0" fontId="0" fillId="0" borderId="0" xfId="0"/>
    <xf numFmtId="20" fontId="0" fillId="0" borderId="0" xfId="0" applyNumberFormat="1"/>
    <xf numFmtId="15" fontId="0" fillId="0" borderId="0" xfId="0" applyNumberFormat="1"/>
    <xf numFmtId="0" fontId="1" fillId="0" borderId="0" xfId="1"/>
    <xf numFmtId="0" fontId="2" fillId="0" borderId="0" xfId="0" applyFont="1"/>
    <xf numFmtId="9" fontId="0" fillId="0" borderId="0" xfId="0" applyNumberFormat="1"/>
    <xf numFmtId="0" fontId="3" fillId="0" borderId="0" xfId="0" applyFont="1"/>
    <xf numFmtId="0" fontId="4" fillId="0" borderId="0" xfId="0" applyFont="1"/>
    <xf numFmtId="0" fontId="0" fillId="2" borderId="0" xfId="0" applyFill="1"/>
    <xf numFmtId="1" fontId="0" fillId="0" borderId="0" xfId="0" applyNumberFormat="1"/>
    <xf numFmtId="2" fontId="0" fillId="0" borderId="0" xfId="0" applyNumberFormat="1"/>
    <xf numFmtId="164" fontId="0" fillId="2" borderId="0" xfId="0" applyNumberFormat="1" applyFill="1"/>
    <xf numFmtId="0" fontId="0" fillId="0" borderId="0" xfId="0" applyFill="1"/>
    <xf numFmtId="2" fontId="0" fillId="3" borderId="0" xfId="0" applyNumberFormat="1" applyFill="1"/>
    <xf numFmtId="0" fontId="7" fillId="0" borderId="0" xfId="0" applyFont="1"/>
    <xf numFmtId="1" fontId="0" fillId="3" borderId="0" xfId="0" applyNumberFormat="1" applyFill="1"/>
    <xf numFmtId="15" fontId="0" fillId="2" borderId="0" xfId="0" applyNumberFormat="1" applyFill="1"/>
    <xf numFmtId="9" fontId="0" fillId="0" borderId="0" xfId="0" applyNumberFormat="1" applyFont="1"/>
    <xf numFmtId="20" fontId="0" fillId="2" borderId="0" xfId="0" applyNumberFormat="1" applyFill="1"/>
    <xf numFmtId="1" fontId="3" fillId="3" borderId="0" xfId="0" applyNumberFormat="1" applyFont="1" applyFill="1"/>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Volume of Water in the Rain Garden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'Volume Evaluation'!$B$22:$Y$22</c:f>
              <c:numCache>
                <c:formatCode>h:mm</c:formatCode>
                <c:ptCount val="24"/>
                <c:pt idx="0">
                  <c:v>0</c:v>
                </c:pt>
                <c:pt idx="1">
                  <c:v>4.1666666666666699E-2</c:v>
                </c:pt>
                <c:pt idx="2">
                  <c:v>8.3333333333333301E-2</c:v>
                </c:pt>
                <c:pt idx="3">
                  <c:v>0.125</c:v>
                </c:pt>
                <c:pt idx="4">
                  <c:v>0.16666666666666699</c:v>
                </c:pt>
                <c:pt idx="5">
                  <c:v>0.20833333333333301</c:v>
                </c:pt>
                <c:pt idx="6">
                  <c:v>0.25</c:v>
                </c:pt>
                <c:pt idx="7">
                  <c:v>0.29166666666666702</c:v>
                </c:pt>
                <c:pt idx="8">
                  <c:v>0.33333333333333298</c:v>
                </c:pt>
                <c:pt idx="9">
                  <c:v>0.375</c:v>
                </c:pt>
                <c:pt idx="10">
                  <c:v>0.41666666666666702</c:v>
                </c:pt>
                <c:pt idx="11">
                  <c:v>0.45833333333333398</c:v>
                </c:pt>
                <c:pt idx="12">
                  <c:v>0.500000000000001</c:v>
                </c:pt>
                <c:pt idx="13">
                  <c:v>0.54166666666666796</c:v>
                </c:pt>
                <c:pt idx="14">
                  <c:v>0.58333333333333504</c:v>
                </c:pt>
                <c:pt idx="15">
                  <c:v>0.625000000000002</c:v>
                </c:pt>
                <c:pt idx="16">
                  <c:v>0.66666666666666896</c:v>
                </c:pt>
                <c:pt idx="17">
                  <c:v>0.70833333333333603</c:v>
                </c:pt>
                <c:pt idx="18">
                  <c:v>0.750000000000003</c:v>
                </c:pt>
                <c:pt idx="19">
                  <c:v>0.79166666666666996</c:v>
                </c:pt>
                <c:pt idx="20">
                  <c:v>0.83333333333333703</c:v>
                </c:pt>
                <c:pt idx="21">
                  <c:v>0.875000000000004</c:v>
                </c:pt>
                <c:pt idx="22">
                  <c:v>0.91666666666667096</c:v>
                </c:pt>
                <c:pt idx="23">
                  <c:v>0.95833333333333803</c:v>
                </c:pt>
              </c:numCache>
            </c:numRef>
          </c:cat>
          <c:val>
            <c:numRef>
              <c:f>'Volume Evaluation'!$B$31:$Y$31</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3E21-4F61-B797-108FEC0796B4}"/>
            </c:ext>
          </c:extLst>
        </c:ser>
        <c:dLbls>
          <c:showLegendKey val="0"/>
          <c:showVal val="0"/>
          <c:showCatName val="0"/>
          <c:showSerName val="0"/>
          <c:showPercent val="0"/>
          <c:showBubbleSize val="0"/>
        </c:dLbls>
        <c:smooth val="0"/>
        <c:axId val="1673224200"/>
        <c:axId val="1673226760"/>
      </c:lineChart>
      <c:catAx>
        <c:axId val="16732242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on October 7, 2025</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3226760"/>
        <c:crosses val="autoZero"/>
        <c:auto val="1"/>
        <c:lblAlgn val="ctr"/>
        <c:lblOffset val="100"/>
        <c:noMultiLvlLbl val="0"/>
      </c:catAx>
      <c:valAx>
        <c:axId val="16732267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Volume of Water (ft3)</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32242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Rainfall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4D93D9"/>
            </a:solidFill>
            <a:ln>
              <a:noFill/>
            </a:ln>
            <a:effectLst/>
          </c:spPr>
          <c:invertIfNegative val="0"/>
          <c:cat>
            <c:numRef>
              <c:f>'Volume Evaluation'!$B$22:$Y$22</c:f>
              <c:numCache>
                <c:formatCode>h:mm</c:formatCode>
                <c:ptCount val="24"/>
                <c:pt idx="0">
                  <c:v>0</c:v>
                </c:pt>
                <c:pt idx="1">
                  <c:v>4.1666666666666699E-2</c:v>
                </c:pt>
                <c:pt idx="2">
                  <c:v>8.3333333333333301E-2</c:v>
                </c:pt>
                <c:pt idx="3">
                  <c:v>0.125</c:v>
                </c:pt>
                <c:pt idx="4">
                  <c:v>0.16666666666666699</c:v>
                </c:pt>
                <c:pt idx="5">
                  <c:v>0.20833333333333301</c:v>
                </c:pt>
                <c:pt idx="6">
                  <c:v>0.25</c:v>
                </c:pt>
                <c:pt idx="7">
                  <c:v>0.29166666666666702</c:v>
                </c:pt>
                <c:pt idx="8">
                  <c:v>0.33333333333333298</c:v>
                </c:pt>
                <c:pt idx="9">
                  <c:v>0.375</c:v>
                </c:pt>
                <c:pt idx="10">
                  <c:v>0.41666666666666702</c:v>
                </c:pt>
                <c:pt idx="11">
                  <c:v>0.45833333333333398</c:v>
                </c:pt>
                <c:pt idx="12">
                  <c:v>0.500000000000001</c:v>
                </c:pt>
                <c:pt idx="13">
                  <c:v>0.54166666666666796</c:v>
                </c:pt>
                <c:pt idx="14">
                  <c:v>0.58333333333333504</c:v>
                </c:pt>
                <c:pt idx="15">
                  <c:v>0.625000000000002</c:v>
                </c:pt>
                <c:pt idx="16">
                  <c:v>0.66666666666666896</c:v>
                </c:pt>
                <c:pt idx="17">
                  <c:v>0.70833333333333603</c:v>
                </c:pt>
                <c:pt idx="18">
                  <c:v>0.750000000000003</c:v>
                </c:pt>
                <c:pt idx="19">
                  <c:v>0.79166666666666996</c:v>
                </c:pt>
                <c:pt idx="20">
                  <c:v>0.83333333333333703</c:v>
                </c:pt>
                <c:pt idx="21">
                  <c:v>0.875000000000004</c:v>
                </c:pt>
                <c:pt idx="22">
                  <c:v>0.91666666666667096</c:v>
                </c:pt>
                <c:pt idx="23">
                  <c:v>0.95833333333333803</c:v>
                </c:pt>
              </c:numCache>
            </c:numRef>
          </c:cat>
          <c:val>
            <c:numRef>
              <c:f>'Volume Evaluation'!$B$24:$Y$24</c:f>
              <c:numCache>
                <c:formatCode>0.00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2066-4C1C-9657-AE6A646B6193}"/>
            </c:ext>
          </c:extLst>
        </c:ser>
        <c:dLbls>
          <c:showLegendKey val="0"/>
          <c:showVal val="0"/>
          <c:showCatName val="0"/>
          <c:showSerName val="0"/>
          <c:showPercent val="0"/>
          <c:showBubbleSize val="0"/>
        </c:dLbls>
        <c:gapWidth val="219"/>
        <c:overlap val="-27"/>
        <c:axId val="1126217224"/>
        <c:axId val="1126228488"/>
      </c:barChart>
      <c:catAx>
        <c:axId val="112621722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on October 7, 2025</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6228488"/>
        <c:crosses val="autoZero"/>
        <c:auto val="1"/>
        <c:lblAlgn val="ctr"/>
        <c:lblOffset val="100"/>
        <c:noMultiLvlLbl val="0"/>
      </c:catAx>
      <c:valAx>
        <c:axId val="11262284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Rainfall (in)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62172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Volume of Water in the Rain Garden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multiLvlStrRef>
              <c:f>'Example 1'!$B$22:$O$23</c:f>
              <c:multiLvlStrCache>
                <c:ptCount val="14"/>
                <c:lvl/>
                <c:lvl>
                  <c:pt idx="0">
                    <c:v>0:00</c:v>
                  </c:pt>
                  <c:pt idx="1">
                    <c:v>1:00</c:v>
                  </c:pt>
                  <c:pt idx="2">
                    <c:v>2:00</c:v>
                  </c:pt>
                  <c:pt idx="3">
                    <c:v>3:00</c:v>
                  </c:pt>
                  <c:pt idx="4">
                    <c:v>4:00</c:v>
                  </c:pt>
                  <c:pt idx="5">
                    <c:v>5:00</c:v>
                  </c:pt>
                  <c:pt idx="6">
                    <c:v>6:00</c:v>
                  </c:pt>
                  <c:pt idx="7">
                    <c:v>7:00</c:v>
                  </c:pt>
                  <c:pt idx="8">
                    <c:v>8:00</c:v>
                  </c:pt>
                  <c:pt idx="9">
                    <c:v>9:00</c:v>
                  </c:pt>
                  <c:pt idx="10">
                    <c:v>10:00</c:v>
                  </c:pt>
                  <c:pt idx="11">
                    <c:v>11:00</c:v>
                  </c:pt>
                  <c:pt idx="12">
                    <c:v>12:00</c:v>
                  </c:pt>
                  <c:pt idx="13">
                    <c:v>13:00</c:v>
                  </c:pt>
                </c:lvl>
              </c:multiLvlStrCache>
            </c:multiLvlStrRef>
          </c:cat>
          <c:val>
            <c:numRef>
              <c:f>'Example 1'!$B$31:$O$31</c:f>
              <c:numCache>
                <c:formatCode>0</c:formatCode>
                <c:ptCount val="14"/>
                <c:pt idx="0">
                  <c:v>0</c:v>
                </c:pt>
                <c:pt idx="1">
                  <c:v>3.0833333333333344</c:v>
                </c:pt>
                <c:pt idx="2">
                  <c:v>12.000000000000004</c:v>
                </c:pt>
                <c:pt idx="3">
                  <c:v>9.2500000000000036</c:v>
                </c:pt>
                <c:pt idx="4">
                  <c:v>6.5000000000000044</c:v>
                </c:pt>
                <c:pt idx="5">
                  <c:v>3.750000000000004</c:v>
                </c:pt>
                <c:pt idx="6">
                  <c:v>6.8333333333333375</c:v>
                </c:pt>
                <c:pt idx="7">
                  <c:v>4.0833333333333375</c:v>
                </c:pt>
                <c:pt idx="8">
                  <c:v>1.3333333333333375</c:v>
                </c:pt>
                <c:pt idx="9">
                  <c:v>0</c:v>
                </c:pt>
                <c:pt idx="10">
                  <c:v>0</c:v>
                </c:pt>
                <c:pt idx="11">
                  <c:v>0</c:v>
                </c:pt>
                <c:pt idx="12">
                  <c:v>0</c:v>
                </c:pt>
                <c:pt idx="13">
                  <c:v>0</c:v>
                </c:pt>
              </c:numCache>
            </c:numRef>
          </c:val>
          <c:smooth val="0"/>
          <c:extLst>
            <c:ext xmlns:c16="http://schemas.microsoft.com/office/drawing/2014/chart" uri="{C3380CC4-5D6E-409C-BE32-E72D297353CC}">
              <c16:uniqueId val="{00000000-0DD0-4D3A-BB0F-8696339D5D71}"/>
            </c:ext>
          </c:extLst>
        </c:ser>
        <c:dLbls>
          <c:showLegendKey val="0"/>
          <c:showVal val="0"/>
          <c:showCatName val="0"/>
          <c:showSerName val="0"/>
          <c:showPercent val="0"/>
          <c:showBubbleSize val="0"/>
        </c:dLbls>
        <c:smooth val="0"/>
        <c:axId val="1673224200"/>
        <c:axId val="1673226760"/>
      </c:lineChart>
      <c:catAx>
        <c:axId val="16732242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on October 7, 2025</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3226760"/>
        <c:crosses val="autoZero"/>
        <c:auto val="1"/>
        <c:lblAlgn val="ctr"/>
        <c:lblOffset val="100"/>
        <c:noMultiLvlLbl val="0"/>
      </c:catAx>
      <c:valAx>
        <c:axId val="16732267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Volume of Water (ft3)</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32242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Rainfall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4D93D9"/>
            </a:solidFill>
            <a:ln>
              <a:noFill/>
            </a:ln>
            <a:effectLst/>
          </c:spPr>
          <c:invertIfNegative val="0"/>
          <c:cat>
            <c:numRef>
              <c:f>'Example 1'!$B$22:$O$22</c:f>
              <c:numCache>
                <c:formatCode>h:mm</c:formatCode>
                <c:ptCount val="14"/>
                <c:pt idx="0">
                  <c:v>0</c:v>
                </c:pt>
                <c:pt idx="1">
                  <c:v>4.1666666666666699E-2</c:v>
                </c:pt>
                <c:pt idx="2">
                  <c:v>8.3333333333333301E-2</c:v>
                </c:pt>
                <c:pt idx="3">
                  <c:v>0.125</c:v>
                </c:pt>
                <c:pt idx="4">
                  <c:v>0.16666666666666699</c:v>
                </c:pt>
                <c:pt idx="5">
                  <c:v>0.20833333333333301</c:v>
                </c:pt>
                <c:pt idx="6">
                  <c:v>0.25</c:v>
                </c:pt>
                <c:pt idx="7">
                  <c:v>0.29166666666666702</c:v>
                </c:pt>
                <c:pt idx="8">
                  <c:v>0.33333333333333298</c:v>
                </c:pt>
                <c:pt idx="9">
                  <c:v>0.375</c:v>
                </c:pt>
                <c:pt idx="10">
                  <c:v>0.41666666666666702</c:v>
                </c:pt>
                <c:pt idx="11">
                  <c:v>0.45833333333333398</c:v>
                </c:pt>
                <c:pt idx="12">
                  <c:v>0.500000000000001</c:v>
                </c:pt>
                <c:pt idx="13">
                  <c:v>0.54166666666666796</c:v>
                </c:pt>
              </c:numCache>
            </c:numRef>
          </c:cat>
          <c:val>
            <c:numRef>
              <c:f>'Example 1'!$B$24:$O$24</c:f>
              <c:numCache>
                <c:formatCode>0.0</c:formatCode>
                <c:ptCount val="14"/>
                <c:pt idx="0">
                  <c:v>0</c:v>
                </c:pt>
                <c:pt idx="1">
                  <c:v>0.1</c:v>
                </c:pt>
                <c:pt idx="2">
                  <c:v>0.2</c:v>
                </c:pt>
                <c:pt idx="3">
                  <c:v>0</c:v>
                </c:pt>
                <c:pt idx="4">
                  <c:v>0</c:v>
                </c:pt>
                <c:pt idx="5">
                  <c:v>0</c:v>
                </c:pt>
                <c:pt idx="6">
                  <c:v>0.1</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FDFD-47CB-B2FF-C7C709A65D48}"/>
            </c:ext>
          </c:extLst>
        </c:ser>
        <c:dLbls>
          <c:showLegendKey val="0"/>
          <c:showVal val="0"/>
          <c:showCatName val="0"/>
          <c:showSerName val="0"/>
          <c:showPercent val="0"/>
          <c:showBubbleSize val="0"/>
        </c:dLbls>
        <c:gapWidth val="219"/>
        <c:overlap val="-27"/>
        <c:axId val="1126217224"/>
        <c:axId val="1126228488"/>
      </c:barChart>
      <c:catAx>
        <c:axId val="112621722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on October 7, 2025</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6228488"/>
        <c:crosses val="autoZero"/>
        <c:auto val="1"/>
        <c:lblAlgn val="ctr"/>
        <c:lblOffset val="100"/>
        <c:noMultiLvlLbl val="0"/>
      </c:catAx>
      <c:valAx>
        <c:axId val="11262284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Rainfall (in)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62172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Volume of Water in the Rain Garden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'Example 2'!$B$22:$Y$22</c:f>
              <c:numCache>
                <c:formatCode>h:mm</c:formatCode>
                <c:ptCount val="24"/>
                <c:pt idx="0">
                  <c:v>0</c:v>
                </c:pt>
                <c:pt idx="1">
                  <c:v>4.1666666666666699E-2</c:v>
                </c:pt>
                <c:pt idx="2">
                  <c:v>8.3333333333333301E-2</c:v>
                </c:pt>
                <c:pt idx="3">
                  <c:v>0.125</c:v>
                </c:pt>
                <c:pt idx="4">
                  <c:v>0.16666666666666699</c:v>
                </c:pt>
                <c:pt idx="5">
                  <c:v>0.20833333333333301</c:v>
                </c:pt>
                <c:pt idx="6">
                  <c:v>0.25</c:v>
                </c:pt>
                <c:pt idx="7">
                  <c:v>0.29166666666666702</c:v>
                </c:pt>
                <c:pt idx="8">
                  <c:v>0.33333333333333298</c:v>
                </c:pt>
                <c:pt idx="9">
                  <c:v>0.375</c:v>
                </c:pt>
                <c:pt idx="10">
                  <c:v>0.41666666666666702</c:v>
                </c:pt>
                <c:pt idx="11">
                  <c:v>0.45833333333333398</c:v>
                </c:pt>
                <c:pt idx="12">
                  <c:v>0.500000000000001</c:v>
                </c:pt>
                <c:pt idx="13">
                  <c:v>0.54166666666666796</c:v>
                </c:pt>
                <c:pt idx="14">
                  <c:v>0.58333333333333504</c:v>
                </c:pt>
                <c:pt idx="15">
                  <c:v>0.625000000000002</c:v>
                </c:pt>
                <c:pt idx="16">
                  <c:v>0.66666666666666896</c:v>
                </c:pt>
                <c:pt idx="17">
                  <c:v>0.70833333333333603</c:v>
                </c:pt>
                <c:pt idx="18">
                  <c:v>0.750000000000003</c:v>
                </c:pt>
                <c:pt idx="19">
                  <c:v>0.79166666666666996</c:v>
                </c:pt>
                <c:pt idx="20">
                  <c:v>0.83333333333333703</c:v>
                </c:pt>
                <c:pt idx="21">
                  <c:v>0.875000000000004</c:v>
                </c:pt>
                <c:pt idx="22">
                  <c:v>0.91666666666667096</c:v>
                </c:pt>
                <c:pt idx="23">
                  <c:v>0.95833333333333803</c:v>
                </c:pt>
              </c:numCache>
            </c:numRef>
          </c:cat>
          <c:val>
            <c:numRef>
              <c:f>'Example 2'!$B$31:$Y$31</c:f>
              <c:numCache>
                <c:formatCode>0</c:formatCode>
                <c:ptCount val="24"/>
                <c:pt idx="0">
                  <c:v>0</c:v>
                </c:pt>
                <c:pt idx="1">
                  <c:v>21.134466666666668</c:v>
                </c:pt>
                <c:pt idx="2">
                  <c:v>20.221733333333336</c:v>
                </c:pt>
                <c:pt idx="3">
                  <c:v>40</c:v>
                </c:pt>
                <c:pt idx="4">
                  <c:v>40</c:v>
                </c:pt>
                <c:pt idx="5">
                  <c:v>37.25</c:v>
                </c:pt>
                <c:pt idx="6">
                  <c:v>34.5</c:v>
                </c:pt>
                <c:pt idx="7">
                  <c:v>31.75</c:v>
                </c:pt>
                <c:pt idx="8">
                  <c:v>29</c:v>
                </c:pt>
                <c:pt idx="9">
                  <c:v>26.25</c:v>
                </c:pt>
                <c:pt idx="10">
                  <c:v>23.5</c:v>
                </c:pt>
                <c:pt idx="11">
                  <c:v>20.75</c:v>
                </c:pt>
                <c:pt idx="12">
                  <c:v>18</c:v>
                </c:pt>
                <c:pt idx="13">
                  <c:v>15.25</c:v>
                </c:pt>
                <c:pt idx="14">
                  <c:v>12.5</c:v>
                </c:pt>
                <c:pt idx="15">
                  <c:v>9.75</c:v>
                </c:pt>
                <c:pt idx="16">
                  <c:v>7</c:v>
                </c:pt>
                <c:pt idx="17">
                  <c:v>4.25</c:v>
                </c:pt>
                <c:pt idx="18">
                  <c:v>1.5</c:v>
                </c:pt>
                <c:pt idx="19">
                  <c:v>0</c:v>
                </c:pt>
                <c:pt idx="20">
                  <c:v>0</c:v>
                </c:pt>
                <c:pt idx="21">
                  <c:v>0</c:v>
                </c:pt>
                <c:pt idx="22">
                  <c:v>0</c:v>
                </c:pt>
                <c:pt idx="23">
                  <c:v>0</c:v>
                </c:pt>
              </c:numCache>
            </c:numRef>
          </c:val>
          <c:smooth val="0"/>
          <c:extLst>
            <c:ext xmlns:c16="http://schemas.microsoft.com/office/drawing/2014/chart" uri="{C3380CC4-5D6E-409C-BE32-E72D297353CC}">
              <c16:uniqueId val="{00000000-80DA-4EF5-98D8-6A2D40D913E2}"/>
            </c:ext>
          </c:extLst>
        </c:ser>
        <c:dLbls>
          <c:showLegendKey val="0"/>
          <c:showVal val="0"/>
          <c:showCatName val="0"/>
          <c:showSerName val="0"/>
          <c:showPercent val="0"/>
          <c:showBubbleSize val="0"/>
        </c:dLbls>
        <c:smooth val="0"/>
        <c:axId val="1673224200"/>
        <c:axId val="1673226760"/>
      </c:lineChart>
      <c:catAx>
        <c:axId val="16732242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on October 7, 2025</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3226760"/>
        <c:crosses val="autoZero"/>
        <c:auto val="1"/>
        <c:lblAlgn val="ctr"/>
        <c:lblOffset val="100"/>
        <c:noMultiLvlLbl val="0"/>
      </c:catAx>
      <c:valAx>
        <c:axId val="16732267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Volume of Water (ft3)</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32242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Rainfall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4D93D9"/>
            </a:solidFill>
            <a:ln>
              <a:noFill/>
            </a:ln>
            <a:effectLst/>
          </c:spPr>
          <c:invertIfNegative val="0"/>
          <c:cat>
            <c:numRef>
              <c:f>'Example 2'!$B$22:$Y$22</c:f>
              <c:numCache>
                <c:formatCode>h:mm</c:formatCode>
                <c:ptCount val="24"/>
                <c:pt idx="0">
                  <c:v>0</c:v>
                </c:pt>
                <c:pt idx="1">
                  <c:v>4.1666666666666699E-2</c:v>
                </c:pt>
                <c:pt idx="2">
                  <c:v>8.3333333333333301E-2</c:v>
                </c:pt>
                <c:pt idx="3">
                  <c:v>0.125</c:v>
                </c:pt>
                <c:pt idx="4">
                  <c:v>0.16666666666666699</c:v>
                </c:pt>
                <c:pt idx="5">
                  <c:v>0.20833333333333301</c:v>
                </c:pt>
                <c:pt idx="6">
                  <c:v>0.25</c:v>
                </c:pt>
                <c:pt idx="7">
                  <c:v>0.29166666666666702</c:v>
                </c:pt>
                <c:pt idx="8">
                  <c:v>0.33333333333333298</c:v>
                </c:pt>
                <c:pt idx="9">
                  <c:v>0.375</c:v>
                </c:pt>
                <c:pt idx="10">
                  <c:v>0.41666666666666702</c:v>
                </c:pt>
                <c:pt idx="11">
                  <c:v>0.45833333333333398</c:v>
                </c:pt>
                <c:pt idx="12">
                  <c:v>0.500000000000001</c:v>
                </c:pt>
                <c:pt idx="13">
                  <c:v>0.54166666666666796</c:v>
                </c:pt>
                <c:pt idx="14">
                  <c:v>0.58333333333333504</c:v>
                </c:pt>
                <c:pt idx="15">
                  <c:v>0.625000000000002</c:v>
                </c:pt>
                <c:pt idx="16">
                  <c:v>0.66666666666666896</c:v>
                </c:pt>
                <c:pt idx="17">
                  <c:v>0.70833333333333603</c:v>
                </c:pt>
                <c:pt idx="18">
                  <c:v>0.750000000000003</c:v>
                </c:pt>
                <c:pt idx="19">
                  <c:v>0.79166666666666996</c:v>
                </c:pt>
                <c:pt idx="20">
                  <c:v>0.83333333333333703</c:v>
                </c:pt>
                <c:pt idx="21">
                  <c:v>0.875000000000004</c:v>
                </c:pt>
                <c:pt idx="22">
                  <c:v>0.91666666666667096</c:v>
                </c:pt>
                <c:pt idx="23">
                  <c:v>0.95833333333333803</c:v>
                </c:pt>
              </c:numCache>
            </c:numRef>
          </c:cat>
          <c:val>
            <c:numRef>
              <c:f>'Example 2'!$B$24:$Y$24</c:f>
              <c:numCache>
                <c:formatCode>0.00</c:formatCode>
                <c:ptCount val="24"/>
                <c:pt idx="0">
                  <c:v>0</c:v>
                </c:pt>
                <c:pt idx="1">
                  <c:v>0.40944800000000003</c:v>
                </c:pt>
                <c:pt idx="2">
                  <c:v>3.1496000000000003E-2</c:v>
                </c:pt>
                <c:pt idx="3">
                  <c:v>1.629918</c:v>
                </c:pt>
                <c:pt idx="4">
                  <c:v>3.1496000000000003E-2</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E28F-47F3-A84F-097B07804890}"/>
            </c:ext>
          </c:extLst>
        </c:ser>
        <c:dLbls>
          <c:showLegendKey val="0"/>
          <c:showVal val="0"/>
          <c:showCatName val="0"/>
          <c:showSerName val="0"/>
          <c:showPercent val="0"/>
          <c:showBubbleSize val="0"/>
        </c:dLbls>
        <c:gapWidth val="219"/>
        <c:overlap val="-27"/>
        <c:axId val="1126217224"/>
        <c:axId val="1126228488"/>
      </c:barChart>
      <c:catAx>
        <c:axId val="112621722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 on October 7, 2025</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6228488"/>
        <c:crosses val="autoZero"/>
        <c:auto val="1"/>
        <c:lblAlgn val="ctr"/>
        <c:lblOffset val="100"/>
        <c:noMultiLvlLbl val="0"/>
      </c:catAx>
      <c:valAx>
        <c:axId val="11262284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Rainfall (in)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62172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xdr:col>
      <xdr:colOff>461962</xdr:colOff>
      <xdr:row>52</xdr:row>
      <xdr:rowOff>33338</xdr:rowOff>
    </xdr:from>
    <xdr:to>
      <xdr:col>10</xdr:col>
      <xdr:colOff>261937</xdr:colOff>
      <xdr:row>54</xdr:row>
      <xdr:rowOff>128588</xdr:rowOff>
    </xdr:to>
    <xdr:sp macro="" textlink="">
      <xdr:nvSpPr>
        <xdr:cNvPr id="2" name="Flowchart: Delay 3">
          <a:extLst>
            <a:ext uri="{FF2B5EF4-FFF2-40B4-BE49-F238E27FC236}">
              <a16:creationId xmlns:a16="http://schemas.microsoft.com/office/drawing/2014/main" id="{38EE174D-DF06-4C0E-8AA3-BE5645905830}"/>
            </a:ext>
            <a:ext uri="{147F2762-F138-4A5C-976F-8EAC2B608ADB}">
              <a16:predDERef xmlns:a16="http://schemas.microsoft.com/office/drawing/2014/main" pred="{B65A1456-9AB1-6516-5B0C-4E846AD8756B}"/>
            </a:ext>
          </a:extLst>
        </xdr:cNvPr>
        <xdr:cNvSpPr/>
      </xdr:nvSpPr>
      <xdr:spPr>
        <a:xfrm rot="5400000">
          <a:off x="7310437" y="7758113"/>
          <a:ext cx="476250" cy="3467100"/>
        </a:xfrm>
        <a:prstGeom prst="flowChartDelay">
          <a:avLst/>
        </a:prstGeom>
        <a:solidFill>
          <a:schemeClr val="accent2">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p>
      </xdr:txBody>
    </xdr:sp>
    <xdr:clientData/>
  </xdr:twoCellAnchor>
  <xdr:twoCellAnchor>
    <xdr:from>
      <xdr:col>0</xdr:col>
      <xdr:colOff>514350</xdr:colOff>
      <xdr:row>40</xdr:row>
      <xdr:rowOff>171450</xdr:rowOff>
    </xdr:from>
    <xdr:to>
      <xdr:col>5</xdr:col>
      <xdr:colOff>47625</xdr:colOff>
      <xdr:row>55</xdr:row>
      <xdr:rowOff>9525</xdr:rowOff>
    </xdr:to>
    <xdr:sp macro="" textlink="">
      <xdr:nvSpPr>
        <xdr:cNvPr id="3" name="Isosceles Triangle 6">
          <a:extLst>
            <a:ext uri="{FF2B5EF4-FFF2-40B4-BE49-F238E27FC236}">
              <a16:creationId xmlns:a16="http://schemas.microsoft.com/office/drawing/2014/main" id="{F061CB0E-4070-4AC7-9004-E13339A9FBAD}"/>
            </a:ext>
            <a:ext uri="{147F2762-F138-4A5C-976F-8EAC2B608ADB}">
              <a16:predDERef xmlns:a16="http://schemas.microsoft.com/office/drawing/2014/main" pred="{38EE174D-DF06-4C0E-8AA3-BE5645905830}"/>
            </a:ext>
          </a:extLst>
        </xdr:cNvPr>
        <xdr:cNvSpPr/>
      </xdr:nvSpPr>
      <xdr:spPr>
        <a:xfrm rot="6713532">
          <a:off x="1914525" y="5705475"/>
          <a:ext cx="2695575" cy="5495925"/>
        </a:xfrm>
        <a:prstGeom prst="triangl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p>
      </xdr:txBody>
    </xdr:sp>
    <xdr:clientData/>
  </xdr:twoCellAnchor>
  <xdr:twoCellAnchor>
    <xdr:from>
      <xdr:col>6</xdr:col>
      <xdr:colOff>485775</xdr:colOff>
      <xdr:row>54</xdr:row>
      <xdr:rowOff>57150</xdr:rowOff>
    </xdr:from>
    <xdr:to>
      <xdr:col>7</xdr:col>
      <xdr:colOff>95250</xdr:colOff>
      <xdr:row>59</xdr:row>
      <xdr:rowOff>85725</xdr:rowOff>
    </xdr:to>
    <xdr:cxnSp macro="">
      <xdr:nvCxnSpPr>
        <xdr:cNvPr id="4" name="Curved Connector 10">
          <a:extLst>
            <a:ext uri="{FF2B5EF4-FFF2-40B4-BE49-F238E27FC236}">
              <a16:creationId xmlns:a16="http://schemas.microsoft.com/office/drawing/2014/main" id="{F2D57187-911D-4D4C-B905-434539667C66}"/>
            </a:ext>
            <a:ext uri="{147F2762-F138-4A5C-976F-8EAC2B608ADB}">
              <a16:predDERef xmlns:a16="http://schemas.microsoft.com/office/drawing/2014/main" pred="{F061CB0E-4070-4AC7-9004-E13339A9FBAD}"/>
            </a:ext>
          </a:extLst>
        </xdr:cNvPr>
        <xdr:cNvCxnSpPr>
          <a:cxnSpLocks/>
        </xdr:cNvCxnSpPr>
      </xdr:nvCxnSpPr>
      <xdr:spPr>
        <a:xfrm flipH="1" flipV="1">
          <a:off x="7058025" y="9658350"/>
          <a:ext cx="219075"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514350</xdr:colOff>
      <xdr:row>54</xdr:row>
      <xdr:rowOff>104775</xdr:rowOff>
    </xdr:from>
    <xdr:to>
      <xdr:col>8</xdr:col>
      <xdr:colOff>123825</xdr:colOff>
      <xdr:row>59</xdr:row>
      <xdr:rowOff>133350</xdr:rowOff>
    </xdr:to>
    <xdr:cxnSp macro="">
      <xdr:nvCxnSpPr>
        <xdr:cNvPr id="5" name="Curved Connector 12">
          <a:extLst>
            <a:ext uri="{FF2B5EF4-FFF2-40B4-BE49-F238E27FC236}">
              <a16:creationId xmlns:a16="http://schemas.microsoft.com/office/drawing/2014/main" id="{63CD92E5-38DD-4B6E-A690-E7954F89175A}"/>
            </a:ext>
            <a:ext uri="{147F2762-F138-4A5C-976F-8EAC2B608ADB}">
              <a16:predDERef xmlns:a16="http://schemas.microsoft.com/office/drawing/2014/main" pred="{F2D57187-911D-4D4C-B905-434539667C66}"/>
            </a:ext>
          </a:extLst>
        </xdr:cNvPr>
        <xdr:cNvCxnSpPr>
          <a:cxnSpLocks/>
        </xdr:cNvCxnSpPr>
      </xdr:nvCxnSpPr>
      <xdr:spPr>
        <a:xfrm flipH="1" flipV="1">
          <a:off x="7696200" y="9705975"/>
          <a:ext cx="228600"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381000</xdr:colOff>
      <xdr:row>54</xdr:row>
      <xdr:rowOff>66675</xdr:rowOff>
    </xdr:from>
    <xdr:to>
      <xdr:col>5</xdr:col>
      <xdr:colOff>600075</xdr:colOff>
      <xdr:row>59</xdr:row>
      <xdr:rowOff>95250</xdr:rowOff>
    </xdr:to>
    <xdr:cxnSp macro="">
      <xdr:nvCxnSpPr>
        <xdr:cNvPr id="6" name="Curved Connector 13">
          <a:extLst>
            <a:ext uri="{FF2B5EF4-FFF2-40B4-BE49-F238E27FC236}">
              <a16:creationId xmlns:a16="http://schemas.microsoft.com/office/drawing/2014/main" id="{1AAECA10-70F0-4EBA-84C0-ABB53964BECC}"/>
            </a:ext>
            <a:ext uri="{147F2762-F138-4A5C-976F-8EAC2B608ADB}">
              <a16:predDERef xmlns:a16="http://schemas.microsoft.com/office/drawing/2014/main" pred="{63CD92E5-38DD-4B6E-A690-E7954F89175A}"/>
            </a:ext>
          </a:extLst>
        </xdr:cNvPr>
        <xdr:cNvCxnSpPr>
          <a:cxnSpLocks/>
          <a:extLst>
            <a:ext uri="{5F17804C-33F3-41E3-A699-7DCFA2EF7971}">
              <a16:cxnDERefs xmlns:a16="http://schemas.microsoft.com/office/drawing/2014/main" st="{00000000-0000-0000-0000-000000000000}" end="{BB2E2351-87AD-D002-E393-36DA9E06FE5E}"/>
            </a:ext>
          </a:extLst>
        </xdr:cNvCxnSpPr>
      </xdr:nvCxnSpPr>
      <xdr:spPr>
        <a:xfrm flipH="1" flipV="1">
          <a:off x="6343650" y="9667875"/>
          <a:ext cx="219075"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600075</xdr:colOff>
      <xdr:row>36</xdr:row>
      <xdr:rowOff>171450</xdr:rowOff>
    </xdr:from>
    <xdr:to>
      <xdr:col>9</xdr:col>
      <xdr:colOff>209550</xdr:colOff>
      <xdr:row>49</xdr:row>
      <xdr:rowOff>142875</xdr:rowOff>
    </xdr:to>
    <xdr:sp macro="" textlink="">
      <xdr:nvSpPr>
        <xdr:cNvPr id="7" name="Down Arrow 14">
          <a:extLst>
            <a:ext uri="{FF2B5EF4-FFF2-40B4-BE49-F238E27FC236}">
              <a16:creationId xmlns:a16="http://schemas.microsoft.com/office/drawing/2014/main" id="{5687F156-37D2-480F-856D-36C61F3CB539}"/>
            </a:ext>
            <a:ext uri="{147F2762-F138-4A5C-976F-8EAC2B608ADB}">
              <a16:predDERef xmlns:a16="http://schemas.microsoft.com/office/drawing/2014/main" pred="{1AAECA10-70F0-4EBA-84C0-ABB53964BECC}"/>
            </a:ext>
          </a:extLst>
        </xdr:cNvPr>
        <xdr:cNvSpPr/>
      </xdr:nvSpPr>
      <xdr:spPr>
        <a:xfrm>
          <a:off x="8401050" y="6343650"/>
          <a:ext cx="21907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10</xdr:col>
      <xdr:colOff>66675</xdr:colOff>
      <xdr:row>51</xdr:row>
      <xdr:rowOff>95250</xdr:rowOff>
    </xdr:from>
    <xdr:to>
      <xdr:col>13</xdr:col>
      <xdr:colOff>9525</xdr:colOff>
      <xdr:row>53</xdr:row>
      <xdr:rowOff>95250</xdr:rowOff>
    </xdr:to>
    <xdr:sp macro="" textlink="">
      <xdr:nvSpPr>
        <xdr:cNvPr id="8" name="Curved Down Arrow 17">
          <a:extLst>
            <a:ext uri="{FF2B5EF4-FFF2-40B4-BE49-F238E27FC236}">
              <a16:creationId xmlns:a16="http://schemas.microsoft.com/office/drawing/2014/main" id="{33B5B056-7F73-4254-B02D-B1FEE88F9770}"/>
            </a:ext>
            <a:ext uri="{147F2762-F138-4A5C-976F-8EAC2B608ADB}">
              <a16:predDERef xmlns:a16="http://schemas.microsoft.com/office/drawing/2014/main" pred="{5687F156-37D2-480F-856D-36C61F3CB539}"/>
            </a:ext>
          </a:extLst>
        </xdr:cNvPr>
        <xdr:cNvSpPr/>
      </xdr:nvSpPr>
      <xdr:spPr>
        <a:xfrm rot="781713">
          <a:off x="9086850" y="9124950"/>
          <a:ext cx="1771650" cy="381000"/>
        </a:xfrm>
        <a:prstGeom prst="curved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solidFill>
              <a:schemeClr val="tx1"/>
            </a:solidFill>
          </a:endParaRPr>
        </a:p>
      </xdr:txBody>
    </xdr:sp>
    <xdr:clientData/>
  </xdr:twoCellAnchor>
  <xdr:twoCellAnchor>
    <xdr:from>
      <xdr:col>8</xdr:col>
      <xdr:colOff>581025</xdr:colOff>
      <xdr:row>54</xdr:row>
      <xdr:rowOff>76200</xdr:rowOff>
    </xdr:from>
    <xdr:to>
      <xdr:col>9</xdr:col>
      <xdr:colOff>200025</xdr:colOff>
      <xdr:row>59</xdr:row>
      <xdr:rowOff>104775</xdr:rowOff>
    </xdr:to>
    <xdr:cxnSp macro="">
      <xdr:nvCxnSpPr>
        <xdr:cNvPr id="9" name="Curved Connector 18">
          <a:extLst>
            <a:ext uri="{FF2B5EF4-FFF2-40B4-BE49-F238E27FC236}">
              <a16:creationId xmlns:a16="http://schemas.microsoft.com/office/drawing/2014/main" id="{7819BE88-A90E-4C97-816B-C4FDD402C8FE}"/>
            </a:ext>
            <a:ext uri="{147F2762-F138-4A5C-976F-8EAC2B608ADB}">
              <a16:predDERef xmlns:a16="http://schemas.microsoft.com/office/drawing/2014/main" pred="{33B5B056-7F73-4254-B02D-B1FEE88F9770}"/>
            </a:ext>
          </a:extLst>
        </xdr:cNvPr>
        <xdr:cNvCxnSpPr>
          <a:cxnSpLocks/>
        </xdr:cNvCxnSpPr>
      </xdr:nvCxnSpPr>
      <xdr:spPr>
        <a:xfrm flipH="1" flipV="1">
          <a:off x="8382000" y="9677400"/>
          <a:ext cx="228600"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190500</xdr:colOff>
      <xdr:row>36</xdr:row>
      <xdr:rowOff>152400</xdr:rowOff>
    </xdr:from>
    <xdr:to>
      <xdr:col>7</xdr:col>
      <xdr:colOff>409575</xdr:colOff>
      <xdr:row>49</xdr:row>
      <xdr:rowOff>123825</xdr:rowOff>
    </xdr:to>
    <xdr:sp macro="" textlink="">
      <xdr:nvSpPr>
        <xdr:cNvPr id="10" name="Down Arrow 19">
          <a:extLst>
            <a:ext uri="{FF2B5EF4-FFF2-40B4-BE49-F238E27FC236}">
              <a16:creationId xmlns:a16="http://schemas.microsoft.com/office/drawing/2014/main" id="{CA504CA6-1CB5-4F3A-926B-07DF3A650335}"/>
            </a:ext>
            <a:ext uri="{147F2762-F138-4A5C-976F-8EAC2B608ADB}">
              <a16:predDERef xmlns:a16="http://schemas.microsoft.com/office/drawing/2014/main" pred="{7819BE88-A90E-4C97-816B-C4FDD402C8FE}"/>
            </a:ext>
          </a:extLst>
        </xdr:cNvPr>
        <xdr:cNvSpPr/>
      </xdr:nvSpPr>
      <xdr:spPr>
        <a:xfrm>
          <a:off x="7372350" y="6324600"/>
          <a:ext cx="21907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5</xdr:col>
      <xdr:colOff>161925</xdr:colOff>
      <xdr:row>37</xdr:row>
      <xdr:rowOff>28575</xdr:rowOff>
    </xdr:from>
    <xdr:to>
      <xdr:col>5</xdr:col>
      <xdr:colOff>381000</xdr:colOff>
      <xdr:row>50</xdr:row>
      <xdr:rowOff>0</xdr:rowOff>
    </xdr:to>
    <xdr:sp macro="" textlink="">
      <xdr:nvSpPr>
        <xdr:cNvPr id="11" name="Down Arrow 20">
          <a:extLst>
            <a:ext uri="{FF2B5EF4-FFF2-40B4-BE49-F238E27FC236}">
              <a16:creationId xmlns:a16="http://schemas.microsoft.com/office/drawing/2014/main" id="{23E96F9E-102A-40C9-86FA-A392EE65F014}"/>
            </a:ext>
            <a:ext uri="{147F2762-F138-4A5C-976F-8EAC2B608ADB}">
              <a16:predDERef xmlns:a16="http://schemas.microsoft.com/office/drawing/2014/main" pred="{CA504CA6-1CB5-4F3A-926B-07DF3A650335}"/>
            </a:ext>
          </a:extLst>
        </xdr:cNvPr>
        <xdr:cNvSpPr/>
      </xdr:nvSpPr>
      <xdr:spPr>
        <a:xfrm>
          <a:off x="6124575" y="6391275"/>
          <a:ext cx="21907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3</xdr:col>
      <xdr:colOff>409575</xdr:colOff>
      <xdr:row>36</xdr:row>
      <xdr:rowOff>161925</xdr:rowOff>
    </xdr:from>
    <xdr:to>
      <xdr:col>3</xdr:col>
      <xdr:colOff>628650</xdr:colOff>
      <xdr:row>49</xdr:row>
      <xdr:rowOff>133350</xdr:rowOff>
    </xdr:to>
    <xdr:sp macro="" textlink="">
      <xdr:nvSpPr>
        <xdr:cNvPr id="12" name="Down Arrow 21">
          <a:extLst>
            <a:ext uri="{FF2B5EF4-FFF2-40B4-BE49-F238E27FC236}">
              <a16:creationId xmlns:a16="http://schemas.microsoft.com/office/drawing/2014/main" id="{948F2BA4-18D2-4561-85A1-E4A4E3C20BBD}"/>
            </a:ext>
            <a:ext uri="{147F2762-F138-4A5C-976F-8EAC2B608ADB}">
              <a16:predDERef xmlns:a16="http://schemas.microsoft.com/office/drawing/2014/main" pred="{23E96F9E-102A-40C9-86FA-A392EE65F014}"/>
            </a:ext>
          </a:extLst>
        </xdr:cNvPr>
        <xdr:cNvSpPr/>
      </xdr:nvSpPr>
      <xdr:spPr>
        <a:xfrm>
          <a:off x="5067300" y="6334125"/>
          <a:ext cx="21907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1</xdr:col>
      <xdr:colOff>542925</xdr:colOff>
      <xdr:row>36</xdr:row>
      <xdr:rowOff>104775</xdr:rowOff>
    </xdr:from>
    <xdr:to>
      <xdr:col>2</xdr:col>
      <xdr:colOff>152400</xdr:colOff>
      <xdr:row>49</xdr:row>
      <xdr:rowOff>76200</xdr:rowOff>
    </xdr:to>
    <xdr:sp macro="" textlink="">
      <xdr:nvSpPr>
        <xdr:cNvPr id="13" name="Down Arrow 22">
          <a:extLst>
            <a:ext uri="{FF2B5EF4-FFF2-40B4-BE49-F238E27FC236}">
              <a16:creationId xmlns:a16="http://schemas.microsoft.com/office/drawing/2014/main" id="{62A0985E-1723-4E18-8795-6F71AB504EFB}"/>
            </a:ext>
            <a:ext uri="{147F2762-F138-4A5C-976F-8EAC2B608ADB}">
              <a16:predDERef xmlns:a16="http://schemas.microsoft.com/office/drawing/2014/main" pred="{948F2BA4-18D2-4561-85A1-E4A4E3C20BBD}"/>
            </a:ext>
          </a:extLst>
        </xdr:cNvPr>
        <xdr:cNvSpPr/>
      </xdr:nvSpPr>
      <xdr:spPr>
        <a:xfrm>
          <a:off x="3914775" y="6276975"/>
          <a:ext cx="27622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0</xdr:col>
      <xdr:colOff>1447800</xdr:colOff>
      <xdr:row>36</xdr:row>
      <xdr:rowOff>66675</xdr:rowOff>
    </xdr:from>
    <xdr:to>
      <xdr:col>0</xdr:col>
      <xdr:colOff>1666875</xdr:colOff>
      <xdr:row>45</xdr:row>
      <xdr:rowOff>142875</xdr:rowOff>
    </xdr:to>
    <xdr:sp macro="" textlink="">
      <xdr:nvSpPr>
        <xdr:cNvPr id="14" name="Down Arrow 23">
          <a:extLst>
            <a:ext uri="{FF2B5EF4-FFF2-40B4-BE49-F238E27FC236}">
              <a16:creationId xmlns:a16="http://schemas.microsoft.com/office/drawing/2014/main" id="{3FD18D3D-ECCC-40CE-B5F7-DC678A925151}"/>
            </a:ext>
            <a:ext uri="{147F2762-F138-4A5C-976F-8EAC2B608ADB}">
              <a16:predDERef xmlns:a16="http://schemas.microsoft.com/office/drawing/2014/main" pred="{62A0985E-1723-4E18-8795-6F71AB504EFB}"/>
            </a:ext>
          </a:extLst>
        </xdr:cNvPr>
        <xdr:cNvSpPr/>
      </xdr:nvSpPr>
      <xdr:spPr>
        <a:xfrm>
          <a:off x="1447800" y="6238875"/>
          <a:ext cx="219075" cy="1790700"/>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13</xdr:col>
      <xdr:colOff>581025</xdr:colOff>
      <xdr:row>32</xdr:row>
      <xdr:rowOff>180975</xdr:rowOff>
    </xdr:from>
    <xdr:to>
      <xdr:col>21</xdr:col>
      <xdr:colOff>276225</xdr:colOff>
      <xdr:row>48</xdr:row>
      <xdr:rowOff>85725</xdr:rowOff>
    </xdr:to>
    <xdr:graphicFrame macro="">
      <xdr:nvGraphicFramePr>
        <xdr:cNvPr id="15" name="Chart 24">
          <a:extLst>
            <a:ext uri="{FF2B5EF4-FFF2-40B4-BE49-F238E27FC236}">
              <a16:creationId xmlns:a16="http://schemas.microsoft.com/office/drawing/2014/main" id="{8F8998E2-D67C-4807-B7F1-2DEFD85EEB98}"/>
            </a:ext>
            <a:ext uri="{147F2762-F138-4A5C-976F-8EAC2B608ADB}">
              <a16:predDERef xmlns:a16="http://schemas.microsoft.com/office/drawing/2014/main" pred="{3FD18D3D-ECCC-40CE-B5F7-DC678A9251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533400</xdr:colOff>
      <xdr:row>7</xdr:row>
      <xdr:rowOff>38100</xdr:rowOff>
    </xdr:from>
    <xdr:to>
      <xdr:col>21</xdr:col>
      <xdr:colOff>228600</xdr:colOff>
      <xdr:row>20</xdr:row>
      <xdr:rowOff>38100</xdr:rowOff>
    </xdr:to>
    <xdr:graphicFrame macro="">
      <xdr:nvGraphicFramePr>
        <xdr:cNvPr id="16" name="Chart 25">
          <a:extLst>
            <a:ext uri="{FF2B5EF4-FFF2-40B4-BE49-F238E27FC236}">
              <a16:creationId xmlns:a16="http://schemas.microsoft.com/office/drawing/2014/main" id="{9318E52E-A2BA-4FB4-8EF5-BEA3D1BE5ED5}"/>
            </a:ext>
            <a:ext uri="{147F2762-F138-4A5C-976F-8EAC2B608ADB}">
              <a16:predDERef xmlns:a16="http://schemas.microsoft.com/office/drawing/2014/main" pred="{8F8998E2-D67C-4807-B7F1-2DEFD85EEB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461962</xdr:colOff>
      <xdr:row>53</xdr:row>
      <xdr:rowOff>33338</xdr:rowOff>
    </xdr:from>
    <xdr:to>
      <xdr:col>10</xdr:col>
      <xdr:colOff>261937</xdr:colOff>
      <xdr:row>55</xdr:row>
      <xdr:rowOff>128588</xdr:rowOff>
    </xdr:to>
    <xdr:sp macro="" textlink="">
      <xdr:nvSpPr>
        <xdr:cNvPr id="2" name="Flowchart: Delay 3">
          <a:extLst>
            <a:ext uri="{FF2B5EF4-FFF2-40B4-BE49-F238E27FC236}">
              <a16:creationId xmlns:a16="http://schemas.microsoft.com/office/drawing/2014/main" id="{7516A978-DC47-4169-B9E1-78FB24DFC02C}"/>
            </a:ext>
            <a:ext uri="{147F2762-F138-4A5C-976F-8EAC2B608ADB}">
              <a16:predDERef xmlns:a16="http://schemas.microsoft.com/office/drawing/2014/main" pred="{B65A1456-9AB1-6516-5B0C-4E846AD8756B}"/>
            </a:ext>
          </a:extLst>
        </xdr:cNvPr>
        <xdr:cNvSpPr/>
      </xdr:nvSpPr>
      <xdr:spPr>
        <a:xfrm rot="5400000">
          <a:off x="7310437" y="7758113"/>
          <a:ext cx="476250" cy="3467100"/>
        </a:xfrm>
        <a:prstGeom prst="flowChartDelay">
          <a:avLst/>
        </a:prstGeom>
        <a:solidFill>
          <a:schemeClr val="accent2">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p>
      </xdr:txBody>
    </xdr:sp>
    <xdr:clientData/>
  </xdr:twoCellAnchor>
  <xdr:twoCellAnchor>
    <xdr:from>
      <xdr:col>0</xdr:col>
      <xdr:colOff>514350</xdr:colOff>
      <xdr:row>41</xdr:row>
      <xdr:rowOff>171450</xdr:rowOff>
    </xdr:from>
    <xdr:to>
      <xdr:col>5</xdr:col>
      <xdr:colOff>47625</xdr:colOff>
      <xdr:row>56</xdr:row>
      <xdr:rowOff>9525</xdr:rowOff>
    </xdr:to>
    <xdr:sp macro="" textlink="">
      <xdr:nvSpPr>
        <xdr:cNvPr id="3" name="Isosceles Triangle 6">
          <a:extLst>
            <a:ext uri="{FF2B5EF4-FFF2-40B4-BE49-F238E27FC236}">
              <a16:creationId xmlns:a16="http://schemas.microsoft.com/office/drawing/2014/main" id="{3F1B8C1B-176E-4C12-81E2-22B1E7AA0921}"/>
            </a:ext>
            <a:ext uri="{147F2762-F138-4A5C-976F-8EAC2B608ADB}">
              <a16:predDERef xmlns:a16="http://schemas.microsoft.com/office/drawing/2014/main" pred="{7516A978-DC47-4169-B9E1-78FB24DFC02C}"/>
            </a:ext>
          </a:extLst>
        </xdr:cNvPr>
        <xdr:cNvSpPr/>
      </xdr:nvSpPr>
      <xdr:spPr>
        <a:xfrm rot="6713532">
          <a:off x="1914525" y="5705475"/>
          <a:ext cx="2695575" cy="5495925"/>
        </a:xfrm>
        <a:prstGeom prst="triangl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p>
      </xdr:txBody>
    </xdr:sp>
    <xdr:clientData/>
  </xdr:twoCellAnchor>
  <xdr:twoCellAnchor>
    <xdr:from>
      <xdr:col>6</xdr:col>
      <xdr:colOff>485775</xdr:colOff>
      <xdr:row>55</xdr:row>
      <xdr:rowOff>57150</xdr:rowOff>
    </xdr:from>
    <xdr:to>
      <xdr:col>7</xdr:col>
      <xdr:colOff>95250</xdr:colOff>
      <xdr:row>60</xdr:row>
      <xdr:rowOff>85725</xdr:rowOff>
    </xdr:to>
    <xdr:cxnSp macro="">
      <xdr:nvCxnSpPr>
        <xdr:cNvPr id="4" name="Curved Connector 10">
          <a:extLst>
            <a:ext uri="{FF2B5EF4-FFF2-40B4-BE49-F238E27FC236}">
              <a16:creationId xmlns:a16="http://schemas.microsoft.com/office/drawing/2014/main" id="{09575AC2-1C23-4822-977B-B53A6E4DE906}"/>
            </a:ext>
            <a:ext uri="{147F2762-F138-4A5C-976F-8EAC2B608ADB}">
              <a16:predDERef xmlns:a16="http://schemas.microsoft.com/office/drawing/2014/main" pred="{3F1B8C1B-176E-4C12-81E2-22B1E7AA0921}"/>
            </a:ext>
          </a:extLst>
        </xdr:cNvPr>
        <xdr:cNvCxnSpPr>
          <a:cxnSpLocks/>
        </xdr:cNvCxnSpPr>
      </xdr:nvCxnSpPr>
      <xdr:spPr>
        <a:xfrm flipH="1" flipV="1">
          <a:off x="7058025" y="9658350"/>
          <a:ext cx="219075"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514350</xdr:colOff>
      <xdr:row>55</xdr:row>
      <xdr:rowOff>104775</xdr:rowOff>
    </xdr:from>
    <xdr:to>
      <xdr:col>8</xdr:col>
      <xdr:colOff>123825</xdr:colOff>
      <xdr:row>60</xdr:row>
      <xdr:rowOff>133350</xdr:rowOff>
    </xdr:to>
    <xdr:cxnSp macro="">
      <xdr:nvCxnSpPr>
        <xdr:cNvPr id="5" name="Curved Connector 12">
          <a:extLst>
            <a:ext uri="{FF2B5EF4-FFF2-40B4-BE49-F238E27FC236}">
              <a16:creationId xmlns:a16="http://schemas.microsoft.com/office/drawing/2014/main" id="{38708E11-25A3-49AD-A109-326EE5186088}"/>
            </a:ext>
            <a:ext uri="{147F2762-F138-4A5C-976F-8EAC2B608ADB}">
              <a16:predDERef xmlns:a16="http://schemas.microsoft.com/office/drawing/2014/main" pred="{09575AC2-1C23-4822-977B-B53A6E4DE906}"/>
            </a:ext>
          </a:extLst>
        </xdr:cNvPr>
        <xdr:cNvCxnSpPr>
          <a:cxnSpLocks/>
        </xdr:cNvCxnSpPr>
      </xdr:nvCxnSpPr>
      <xdr:spPr>
        <a:xfrm flipH="1" flipV="1">
          <a:off x="7696200" y="9705975"/>
          <a:ext cx="228600"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381000</xdr:colOff>
      <xdr:row>55</xdr:row>
      <xdr:rowOff>66675</xdr:rowOff>
    </xdr:from>
    <xdr:to>
      <xdr:col>5</xdr:col>
      <xdr:colOff>600075</xdr:colOff>
      <xdr:row>60</xdr:row>
      <xdr:rowOff>95250</xdr:rowOff>
    </xdr:to>
    <xdr:cxnSp macro="">
      <xdr:nvCxnSpPr>
        <xdr:cNvPr id="6" name="Curved Connector 13">
          <a:extLst>
            <a:ext uri="{FF2B5EF4-FFF2-40B4-BE49-F238E27FC236}">
              <a16:creationId xmlns:a16="http://schemas.microsoft.com/office/drawing/2014/main" id="{BA24558F-E356-446F-9CAF-FFFD6D7C2E92}"/>
            </a:ext>
            <a:ext uri="{147F2762-F138-4A5C-976F-8EAC2B608ADB}">
              <a16:predDERef xmlns:a16="http://schemas.microsoft.com/office/drawing/2014/main" pred="{38708E11-25A3-49AD-A109-326EE5186088}"/>
            </a:ext>
          </a:extLst>
        </xdr:cNvPr>
        <xdr:cNvCxnSpPr>
          <a:cxnSpLocks/>
          <a:extLst>
            <a:ext uri="{5F17804C-33F3-41E3-A699-7DCFA2EF7971}">
              <a16:cxnDERefs xmlns:a16="http://schemas.microsoft.com/office/drawing/2014/main" st="{00000000-0000-0000-0000-000000000000}" end="{BB2E2351-87AD-D002-E393-36DA9E06FE5E}"/>
            </a:ext>
          </a:extLst>
        </xdr:cNvCxnSpPr>
      </xdr:nvCxnSpPr>
      <xdr:spPr>
        <a:xfrm flipH="1" flipV="1">
          <a:off x="6343650" y="9667875"/>
          <a:ext cx="219075"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209550</xdr:colOff>
      <xdr:row>36</xdr:row>
      <xdr:rowOff>161925</xdr:rowOff>
    </xdr:from>
    <xdr:to>
      <xdr:col>7</xdr:col>
      <xdr:colOff>428625</xdr:colOff>
      <xdr:row>49</xdr:row>
      <xdr:rowOff>133350</xdr:rowOff>
    </xdr:to>
    <xdr:sp macro="" textlink="">
      <xdr:nvSpPr>
        <xdr:cNvPr id="7" name="Down Arrow 14">
          <a:extLst>
            <a:ext uri="{FF2B5EF4-FFF2-40B4-BE49-F238E27FC236}">
              <a16:creationId xmlns:a16="http://schemas.microsoft.com/office/drawing/2014/main" id="{4B121DB7-A56A-4A06-8192-38E89171E9F5}"/>
            </a:ext>
            <a:ext uri="{147F2762-F138-4A5C-976F-8EAC2B608ADB}">
              <a16:predDERef xmlns:a16="http://schemas.microsoft.com/office/drawing/2014/main" pred="{BA24558F-E356-446F-9CAF-FFFD6D7C2E92}"/>
            </a:ext>
          </a:extLst>
        </xdr:cNvPr>
        <xdr:cNvSpPr/>
      </xdr:nvSpPr>
      <xdr:spPr>
        <a:xfrm>
          <a:off x="7391400" y="6143625"/>
          <a:ext cx="21907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10</xdr:col>
      <xdr:colOff>66675</xdr:colOff>
      <xdr:row>52</xdr:row>
      <xdr:rowOff>95250</xdr:rowOff>
    </xdr:from>
    <xdr:to>
      <xdr:col>13</xdr:col>
      <xdr:colOff>9525</xdr:colOff>
      <xdr:row>54</xdr:row>
      <xdr:rowOff>95250</xdr:rowOff>
    </xdr:to>
    <xdr:sp macro="" textlink="">
      <xdr:nvSpPr>
        <xdr:cNvPr id="8" name="Curved Down Arrow 17">
          <a:extLst>
            <a:ext uri="{FF2B5EF4-FFF2-40B4-BE49-F238E27FC236}">
              <a16:creationId xmlns:a16="http://schemas.microsoft.com/office/drawing/2014/main" id="{36260641-F794-4DB7-A958-443EFB986641}"/>
            </a:ext>
            <a:ext uri="{147F2762-F138-4A5C-976F-8EAC2B608ADB}">
              <a16:predDERef xmlns:a16="http://schemas.microsoft.com/office/drawing/2014/main" pred="{4B121DB7-A56A-4A06-8192-38E89171E9F5}"/>
            </a:ext>
          </a:extLst>
        </xdr:cNvPr>
        <xdr:cNvSpPr/>
      </xdr:nvSpPr>
      <xdr:spPr>
        <a:xfrm rot="781713">
          <a:off x="9086850" y="9124950"/>
          <a:ext cx="1771650" cy="381000"/>
        </a:xfrm>
        <a:prstGeom prst="curved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solidFill>
              <a:schemeClr val="tx1"/>
            </a:solidFill>
          </a:endParaRPr>
        </a:p>
      </xdr:txBody>
    </xdr:sp>
    <xdr:clientData/>
  </xdr:twoCellAnchor>
  <xdr:twoCellAnchor>
    <xdr:from>
      <xdr:col>8</xdr:col>
      <xdr:colOff>581025</xdr:colOff>
      <xdr:row>55</xdr:row>
      <xdr:rowOff>76200</xdr:rowOff>
    </xdr:from>
    <xdr:to>
      <xdr:col>9</xdr:col>
      <xdr:colOff>200025</xdr:colOff>
      <xdr:row>60</xdr:row>
      <xdr:rowOff>104775</xdr:rowOff>
    </xdr:to>
    <xdr:cxnSp macro="">
      <xdr:nvCxnSpPr>
        <xdr:cNvPr id="9" name="Curved Connector 18">
          <a:extLst>
            <a:ext uri="{FF2B5EF4-FFF2-40B4-BE49-F238E27FC236}">
              <a16:creationId xmlns:a16="http://schemas.microsoft.com/office/drawing/2014/main" id="{87920034-7BA2-41D3-82A7-4B7FC1DFAAE3}"/>
            </a:ext>
            <a:ext uri="{147F2762-F138-4A5C-976F-8EAC2B608ADB}">
              <a16:predDERef xmlns:a16="http://schemas.microsoft.com/office/drawing/2014/main" pred="{36260641-F794-4DB7-A958-443EFB986641}"/>
            </a:ext>
          </a:extLst>
        </xdr:cNvPr>
        <xdr:cNvCxnSpPr>
          <a:cxnSpLocks/>
        </xdr:cNvCxnSpPr>
      </xdr:nvCxnSpPr>
      <xdr:spPr>
        <a:xfrm flipH="1" flipV="1">
          <a:off x="8382000" y="9677400"/>
          <a:ext cx="228600"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133350</xdr:colOff>
      <xdr:row>37</xdr:row>
      <xdr:rowOff>9525</xdr:rowOff>
    </xdr:from>
    <xdr:to>
      <xdr:col>2</xdr:col>
      <xdr:colOff>409575</xdr:colOff>
      <xdr:row>49</xdr:row>
      <xdr:rowOff>171450</xdr:rowOff>
    </xdr:to>
    <xdr:sp macro="" textlink="">
      <xdr:nvSpPr>
        <xdr:cNvPr id="13" name="Down Arrow 22">
          <a:extLst>
            <a:ext uri="{FF2B5EF4-FFF2-40B4-BE49-F238E27FC236}">
              <a16:creationId xmlns:a16="http://schemas.microsoft.com/office/drawing/2014/main" id="{DD23656E-C052-4FFF-A94D-49695574539B}"/>
            </a:ext>
            <a:ext uri="{147F2762-F138-4A5C-976F-8EAC2B608ADB}">
              <a16:predDERef xmlns:a16="http://schemas.microsoft.com/office/drawing/2014/main" pred="{AC9C8971-B79D-4A3E-95F7-82C200324E7A}"/>
            </a:ext>
          </a:extLst>
        </xdr:cNvPr>
        <xdr:cNvSpPr/>
      </xdr:nvSpPr>
      <xdr:spPr>
        <a:xfrm>
          <a:off x="4171950" y="6181725"/>
          <a:ext cx="27622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0</xdr:col>
      <xdr:colOff>2400300</xdr:colOff>
      <xdr:row>36</xdr:row>
      <xdr:rowOff>161925</xdr:rowOff>
    </xdr:from>
    <xdr:to>
      <xdr:col>0</xdr:col>
      <xdr:colOff>2619375</xdr:colOff>
      <xdr:row>46</xdr:row>
      <xdr:rowOff>47625</xdr:rowOff>
    </xdr:to>
    <xdr:sp macro="" textlink="">
      <xdr:nvSpPr>
        <xdr:cNvPr id="14" name="Down Arrow 23">
          <a:extLst>
            <a:ext uri="{FF2B5EF4-FFF2-40B4-BE49-F238E27FC236}">
              <a16:creationId xmlns:a16="http://schemas.microsoft.com/office/drawing/2014/main" id="{24B550C4-5409-49FE-84EF-727BA39E6924}"/>
            </a:ext>
            <a:ext uri="{147F2762-F138-4A5C-976F-8EAC2B608ADB}">
              <a16:predDERef xmlns:a16="http://schemas.microsoft.com/office/drawing/2014/main" pred="{DD23656E-C052-4FFF-A94D-49695574539B}"/>
            </a:ext>
          </a:extLst>
        </xdr:cNvPr>
        <xdr:cNvSpPr/>
      </xdr:nvSpPr>
      <xdr:spPr>
        <a:xfrm>
          <a:off x="2400300" y="6143625"/>
          <a:ext cx="219075" cy="1790700"/>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13</xdr:col>
      <xdr:colOff>600075</xdr:colOff>
      <xdr:row>34</xdr:row>
      <xdr:rowOff>0</xdr:rowOff>
    </xdr:from>
    <xdr:to>
      <xdr:col>21</xdr:col>
      <xdr:colOff>295275</xdr:colOff>
      <xdr:row>47</xdr:row>
      <xdr:rowOff>95250</xdr:rowOff>
    </xdr:to>
    <xdr:graphicFrame macro="">
      <xdr:nvGraphicFramePr>
        <xdr:cNvPr id="15" name="Chart 24">
          <a:extLst>
            <a:ext uri="{FF2B5EF4-FFF2-40B4-BE49-F238E27FC236}">
              <a16:creationId xmlns:a16="http://schemas.microsoft.com/office/drawing/2014/main" id="{6AC17C7C-C790-45A8-BA2A-6B7DA75190DC}"/>
            </a:ext>
            <a:ext uri="{147F2762-F138-4A5C-976F-8EAC2B608ADB}">
              <a16:predDERef xmlns:a16="http://schemas.microsoft.com/office/drawing/2014/main" pred="{24B550C4-5409-49FE-84EF-727BA39E69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542925</xdr:colOff>
      <xdr:row>6</xdr:row>
      <xdr:rowOff>123825</xdr:rowOff>
    </xdr:from>
    <xdr:to>
      <xdr:col>21</xdr:col>
      <xdr:colOff>238125</xdr:colOff>
      <xdr:row>19</xdr:row>
      <xdr:rowOff>123825</xdr:rowOff>
    </xdr:to>
    <xdr:graphicFrame macro="">
      <xdr:nvGraphicFramePr>
        <xdr:cNvPr id="16" name="Chart 25">
          <a:extLst>
            <a:ext uri="{FF2B5EF4-FFF2-40B4-BE49-F238E27FC236}">
              <a16:creationId xmlns:a16="http://schemas.microsoft.com/office/drawing/2014/main" id="{711AF0D8-92A2-48D9-8964-C87287ED1336}"/>
            </a:ext>
            <a:ext uri="{147F2762-F138-4A5C-976F-8EAC2B608ADB}">
              <a16:predDERef xmlns:a16="http://schemas.microsoft.com/office/drawing/2014/main" pred="{6AC17C7C-C790-45A8-BA2A-6B7DA75190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461962</xdr:colOff>
      <xdr:row>52</xdr:row>
      <xdr:rowOff>33338</xdr:rowOff>
    </xdr:from>
    <xdr:to>
      <xdr:col>10</xdr:col>
      <xdr:colOff>261937</xdr:colOff>
      <xdr:row>54</xdr:row>
      <xdr:rowOff>128588</xdr:rowOff>
    </xdr:to>
    <xdr:sp macro="" textlink="">
      <xdr:nvSpPr>
        <xdr:cNvPr id="2" name="Flowchart: Delay 3">
          <a:extLst>
            <a:ext uri="{FF2B5EF4-FFF2-40B4-BE49-F238E27FC236}">
              <a16:creationId xmlns:a16="http://schemas.microsoft.com/office/drawing/2014/main" id="{818B9306-3940-4589-993F-506A77D5E478}"/>
            </a:ext>
            <a:ext uri="{147F2762-F138-4A5C-976F-8EAC2B608ADB}">
              <a16:predDERef xmlns:a16="http://schemas.microsoft.com/office/drawing/2014/main" pred="{B65A1456-9AB1-6516-5B0C-4E846AD8756B}"/>
            </a:ext>
          </a:extLst>
        </xdr:cNvPr>
        <xdr:cNvSpPr/>
      </xdr:nvSpPr>
      <xdr:spPr>
        <a:xfrm rot="5400000">
          <a:off x="7253287" y="7567613"/>
          <a:ext cx="476250" cy="3467100"/>
        </a:xfrm>
        <a:prstGeom prst="flowChartDelay">
          <a:avLst/>
        </a:prstGeom>
        <a:solidFill>
          <a:schemeClr val="accent2">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p>
      </xdr:txBody>
    </xdr:sp>
    <xdr:clientData/>
  </xdr:twoCellAnchor>
  <xdr:twoCellAnchor>
    <xdr:from>
      <xdr:col>0</xdr:col>
      <xdr:colOff>514350</xdr:colOff>
      <xdr:row>40</xdr:row>
      <xdr:rowOff>171450</xdr:rowOff>
    </xdr:from>
    <xdr:to>
      <xdr:col>5</xdr:col>
      <xdr:colOff>47625</xdr:colOff>
      <xdr:row>55</xdr:row>
      <xdr:rowOff>9525</xdr:rowOff>
    </xdr:to>
    <xdr:sp macro="" textlink="">
      <xdr:nvSpPr>
        <xdr:cNvPr id="3" name="Isosceles Triangle 6">
          <a:extLst>
            <a:ext uri="{FF2B5EF4-FFF2-40B4-BE49-F238E27FC236}">
              <a16:creationId xmlns:a16="http://schemas.microsoft.com/office/drawing/2014/main" id="{BD088EEE-CC8E-43C0-B2D3-6D54C82E52A3}"/>
            </a:ext>
            <a:ext uri="{147F2762-F138-4A5C-976F-8EAC2B608ADB}">
              <a16:predDERef xmlns:a16="http://schemas.microsoft.com/office/drawing/2014/main" pred="{818B9306-3940-4589-993F-506A77D5E478}"/>
            </a:ext>
          </a:extLst>
        </xdr:cNvPr>
        <xdr:cNvSpPr/>
      </xdr:nvSpPr>
      <xdr:spPr>
        <a:xfrm rot="6713532">
          <a:off x="1885950" y="5543550"/>
          <a:ext cx="2695575" cy="5438775"/>
        </a:xfrm>
        <a:prstGeom prst="triangl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p>
      </xdr:txBody>
    </xdr:sp>
    <xdr:clientData/>
  </xdr:twoCellAnchor>
  <xdr:twoCellAnchor>
    <xdr:from>
      <xdr:col>6</xdr:col>
      <xdr:colOff>485775</xdr:colOff>
      <xdr:row>54</xdr:row>
      <xdr:rowOff>57150</xdr:rowOff>
    </xdr:from>
    <xdr:to>
      <xdr:col>7</xdr:col>
      <xdr:colOff>95250</xdr:colOff>
      <xdr:row>59</xdr:row>
      <xdr:rowOff>85725</xdr:rowOff>
    </xdr:to>
    <xdr:cxnSp macro="">
      <xdr:nvCxnSpPr>
        <xdr:cNvPr id="4" name="Curved Connector 10">
          <a:extLst>
            <a:ext uri="{FF2B5EF4-FFF2-40B4-BE49-F238E27FC236}">
              <a16:creationId xmlns:a16="http://schemas.microsoft.com/office/drawing/2014/main" id="{8ACDC701-E28E-42F8-8E5A-D906E369A64A}"/>
            </a:ext>
            <a:ext uri="{147F2762-F138-4A5C-976F-8EAC2B608ADB}">
              <a16:predDERef xmlns:a16="http://schemas.microsoft.com/office/drawing/2014/main" pred="{BD088EEE-CC8E-43C0-B2D3-6D54C82E52A3}"/>
            </a:ext>
          </a:extLst>
        </xdr:cNvPr>
        <xdr:cNvCxnSpPr>
          <a:cxnSpLocks/>
        </xdr:cNvCxnSpPr>
      </xdr:nvCxnSpPr>
      <xdr:spPr>
        <a:xfrm flipH="1" flipV="1">
          <a:off x="7000875" y="9467850"/>
          <a:ext cx="219075"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514350</xdr:colOff>
      <xdr:row>54</xdr:row>
      <xdr:rowOff>104775</xdr:rowOff>
    </xdr:from>
    <xdr:to>
      <xdr:col>8</xdr:col>
      <xdr:colOff>123825</xdr:colOff>
      <xdr:row>59</xdr:row>
      <xdr:rowOff>133350</xdr:rowOff>
    </xdr:to>
    <xdr:cxnSp macro="">
      <xdr:nvCxnSpPr>
        <xdr:cNvPr id="5" name="Curved Connector 12">
          <a:extLst>
            <a:ext uri="{FF2B5EF4-FFF2-40B4-BE49-F238E27FC236}">
              <a16:creationId xmlns:a16="http://schemas.microsoft.com/office/drawing/2014/main" id="{4DB6E5DB-6678-4C7E-895D-EA05083EBAB4}"/>
            </a:ext>
            <a:ext uri="{147F2762-F138-4A5C-976F-8EAC2B608ADB}">
              <a16:predDERef xmlns:a16="http://schemas.microsoft.com/office/drawing/2014/main" pred="{8ACDC701-E28E-42F8-8E5A-D906E369A64A}"/>
            </a:ext>
          </a:extLst>
        </xdr:cNvPr>
        <xdr:cNvCxnSpPr>
          <a:cxnSpLocks/>
        </xdr:cNvCxnSpPr>
      </xdr:nvCxnSpPr>
      <xdr:spPr>
        <a:xfrm flipH="1" flipV="1">
          <a:off x="7639050" y="9515475"/>
          <a:ext cx="228600"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381000</xdr:colOff>
      <xdr:row>54</xdr:row>
      <xdr:rowOff>66675</xdr:rowOff>
    </xdr:from>
    <xdr:to>
      <xdr:col>5</xdr:col>
      <xdr:colOff>600075</xdr:colOff>
      <xdr:row>59</xdr:row>
      <xdr:rowOff>95250</xdr:rowOff>
    </xdr:to>
    <xdr:cxnSp macro="">
      <xdr:nvCxnSpPr>
        <xdr:cNvPr id="6" name="Curved Connector 13">
          <a:extLst>
            <a:ext uri="{FF2B5EF4-FFF2-40B4-BE49-F238E27FC236}">
              <a16:creationId xmlns:a16="http://schemas.microsoft.com/office/drawing/2014/main" id="{2BCCA3BB-274E-4E62-B7E9-FBA28438E608}"/>
            </a:ext>
            <a:ext uri="{147F2762-F138-4A5C-976F-8EAC2B608ADB}">
              <a16:predDERef xmlns:a16="http://schemas.microsoft.com/office/drawing/2014/main" pred="{4DB6E5DB-6678-4C7E-895D-EA05083EBAB4}"/>
            </a:ext>
          </a:extLst>
        </xdr:cNvPr>
        <xdr:cNvCxnSpPr>
          <a:cxnSpLocks/>
          <a:extLst>
            <a:ext uri="{5F17804C-33F3-41E3-A699-7DCFA2EF7971}">
              <a16:cxnDERefs xmlns:a16="http://schemas.microsoft.com/office/drawing/2014/main" st="{00000000-0000-0000-0000-000000000000}" end="{BB2E2351-87AD-D002-E393-36DA9E06FE5E}"/>
            </a:ext>
          </a:extLst>
        </xdr:cNvCxnSpPr>
      </xdr:nvCxnSpPr>
      <xdr:spPr>
        <a:xfrm flipH="1" flipV="1">
          <a:off x="6286500" y="9477375"/>
          <a:ext cx="219075"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600075</xdr:colOff>
      <xdr:row>36</xdr:row>
      <xdr:rowOff>171450</xdr:rowOff>
    </xdr:from>
    <xdr:to>
      <xdr:col>9</xdr:col>
      <xdr:colOff>209550</xdr:colOff>
      <xdr:row>49</xdr:row>
      <xdr:rowOff>142875</xdr:rowOff>
    </xdr:to>
    <xdr:sp macro="" textlink="">
      <xdr:nvSpPr>
        <xdr:cNvPr id="7" name="Down Arrow 14">
          <a:extLst>
            <a:ext uri="{FF2B5EF4-FFF2-40B4-BE49-F238E27FC236}">
              <a16:creationId xmlns:a16="http://schemas.microsoft.com/office/drawing/2014/main" id="{89805E18-74B5-4CFF-9B55-CF759D0D86CA}"/>
            </a:ext>
            <a:ext uri="{147F2762-F138-4A5C-976F-8EAC2B608ADB}">
              <a16:predDERef xmlns:a16="http://schemas.microsoft.com/office/drawing/2014/main" pred="{2BCCA3BB-274E-4E62-B7E9-FBA28438E608}"/>
            </a:ext>
          </a:extLst>
        </xdr:cNvPr>
        <xdr:cNvSpPr/>
      </xdr:nvSpPr>
      <xdr:spPr>
        <a:xfrm>
          <a:off x="8343900" y="6153150"/>
          <a:ext cx="21907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10</xdr:col>
      <xdr:colOff>66675</xdr:colOff>
      <xdr:row>51</xdr:row>
      <xdr:rowOff>95250</xdr:rowOff>
    </xdr:from>
    <xdr:to>
      <xdr:col>13</xdr:col>
      <xdr:colOff>9525</xdr:colOff>
      <xdr:row>53</xdr:row>
      <xdr:rowOff>95250</xdr:rowOff>
    </xdr:to>
    <xdr:sp macro="" textlink="">
      <xdr:nvSpPr>
        <xdr:cNvPr id="8" name="Curved Down Arrow 17">
          <a:extLst>
            <a:ext uri="{FF2B5EF4-FFF2-40B4-BE49-F238E27FC236}">
              <a16:creationId xmlns:a16="http://schemas.microsoft.com/office/drawing/2014/main" id="{37A5DBE8-7E9E-4426-8A40-9E2ACA344625}"/>
            </a:ext>
            <a:ext uri="{147F2762-F138-4A5C-976F-8EAC2B608ADB}">
              <a16:predDERef xmlns:a16="http://schemas.microsoft.com/office/drawing/2014/main" pred="{89805E18-74B5-4CFF-9B55-CF759D0D86CA}"/>
            </a:ext>
          </a:extLst>
        </xdr:cNvPr>
        <xdr:cNvSpPr/>
      </xdr:nvSpPr>
      <xdr:spPr>
        <a:xfrm rot="781713">
          <a:off x="9029700" y="8934450"/>
          <a:ext cx="1771650" cy="381000"/>
        </a:xfrm>
        <a:prstGeom prst="curved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solidFill>
              <a:schemeClr val="tx1"/>
            </a:solidFill>
          </a:endParaRPr>
        </a:p>
      </xdr:txBody>
    </xdr:sp>
    <xdr:clientData/>
  </xdr:twoCellAnchor>
  <xdr:twoCellAnchor>
    <xdr:from>
      <xdr:col>8</xdr:col>
      <xdr:colOff>581025</xdr:colOff>
      <xdr:row>54</xdr:row>
      <xdr:rowOff>76200</xdr:rowOff>
    </xdr:from>
    <xdr:to>
      <xdr:col>9</xdr:col>
      <xdr:colOff>200025</xdr:colOff>
      <xdr:row>59</xdr:row>
      <xdr:rowOff>104775</xdr:rowOff>
    </xdr:to>
    <xdr:cxnSp macro="">
      <xdr:nvCxnSpPr>
        <xdr:cNvPr id="9" name="Curved Connector 18">
          <a:extLst>
            <a:ext uri="{FF2B5EF4-FFF2-40B4-BE49-F238E27FC236}">
              <a16:creationId xmlns:a16="http://schemas.microsoft.com/office/drawing/2014/main" id="{292748B9-97B1-4F07-BA6E-19D306DA6597}"/>
            </a:ext>
            <a:ext uri="{147F2762-F138-4A5C-976F-8EAC2B608ADB}">
              <a16:predDERef xmlns:a16="http://schemas.microsoft.com/office/drawing/2014/main" pred="{37A5DBE8-7E9E-4426-8A40-9E2ACA344625}"/>
            </a:ext>
          </a:extLst>
        </xdr:cNvPr>
        <xdr:cNvCxnSpPr>
          <a:cxnSpLocks/>
        </xdr:cNvCxnSpPr>
      </xdr:nvCxnSpPr>
      <xdr:spPr>
        <a:xfrm flipH="1" flipV="1">
          <a:off x="8324850" y="9486900"/>
          <a:ext cx="228600" cy="981075"/>
        </a:xfrm>
        <a:prstGeom prst="curvedConnector3">
          <a:avLst/>
        </a:prstGeom>
        <a:ln>
          <a:solidFill>
            <a:schemeClr val="accent2">
              <a:lumMod val="60000"/>
              <a:lumOff val="40000"/>
            </a:schemeClr>
          </a:solidFill>
          <a:head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190500</xdr:colOff>
      <xdr:row>36</xdr:row>
      <xdr:rowOff>152400</xdr:rowOff>
    </xdr:from>
    <xdr:to>
      <xdr:col>7</xdr:col>
      <xdr:colOff>409575</xdr:colOff>
      <xdr:row>49</xdr:row>
      <xdr:rowOff>123825</xdr:rowOff>
    </xdr:to>
    <xdr:sp macro="" textlink="">
      <xdr:nvSpPr>
        <xdr:cNvPr id="10" name="Down Arrow 19">
          <a:extLst>
            <a:ext uri="{FF2B5EF4-FFF2-40B4-BE49-F238E27FC236}">
              <a16:creationId xmlns:a16="http://schemas.microsoft.com/office/drawing/2014/main" id="{900D7C5E-74E9-4D9E-B801-51D903C359A3}"/>
            </a:ext>
            <a:ext uri="{147F2762-F138-4A5C-976F-8EAC2B608ADB}">
              <a16:predDERef xmlns:a16="http://schemas.microsoft.com/office/drawing/2014/main" pred="{292748B9-97B1-4F07-BA6E-19D306DA6597}"/>
            </a:ext>
          </a:extLst>
        </xdr:cNvPr>
        <xdr:cNvSpPr/>
      </xdr:nvSpPr>
      <xdr:spPr>
        <a:xfrm>
          <a:off x="7315200" y="6134100"/>
          <a:ext cx="21907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5</xdr:col>
      <xdr:colOff>161925</xdr:colOff>
      <xdr:row>37</xdr:row>
      <xdr:rowOff>28575</xdr:rowOff>
    </xdr:from>
    <xdr:to>
      <xdr:col>5</xdr:col>
      <xdr:colOff>381000</xdr:colOff>
      <xdr:row>50</xdr:row>
      <xdr:rowOff>0</xdr:rowOff>
    </xdr:to>
    <xdr:sp macro="" textlink="">
      <xdr:nvSpPr>
        <xdr:cNvPr id="11" name="Down Arrow 20">
          <a:extLst>
            <a:ext uri="{FF2B5EF4-FFF2-40B4-BE49-F238E27FC236}">
              <a16:creationId xmlns:a16="http://schemas.microsoft.com/office/drawing/2014/main" id="{209075A6-59EF-48B3-9609-AE8469917D93}"/>
            </a:ext>
            <a:ext uri="{147F2762-F138-4A5C-976F-8EAC2B608ADB}">
              <a16:predDERef xmlns:a16="http://schemas.microsoft.com/office/drawing/2014/main" pred="{900D7C5E-74E9-4D9E-B801-51D903C359A3}"/>
            </a:ext>
          </a:extLst>
        </xdr:cNvPr>
        <xdr:cNvSpPr/>
      </xdr:nvSpPr>
      <xdr:spPr>
        <a:xfrm>
          <a:off x="6067425" y="6200775"/>
          <a:ext cx="21907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3</xdr:col>
      <xdr:colOff>409575</xdr:colOff>
      <xdr:row>36</xdr:row>
      <xdr:rowOff>161925</xdr:rowOff>
    </xdr:from>
    <xdr:to>
      <xdr:col>3</xdr:col>
      <xdr:colOff>628650</xdr:colOff>
      <xdr:row>49</xdr:row>
      <xdr:rowOff>133350</xdr:rowOff>
    </xdr:to>
    <xdr:sp macro="" textlink="">
      <xdr:nvSpPr>
        <xdr:cNvPr id="12" name="Down Arrow 21">
          <a:extLst>
            <a:ext uri="{FF2B5EF4-FFF2-40B4-BE49-F238E27FC236}">
              <a16:creationId xmlns:a16="http://schemas.microsoft.com/office/drawing/2014/main" id="{ACE7EF21-3E5E-4479-91C8-FD7A4E3D552A}"/>
            </a:ext>
            <a:ext uri="{147F2762-F138-4A5C-976F-8EAC2B608ADB}">
              <a16:predDERef xmlns:a16="http://schemas.microsoft.com/office/drawing/2014/main" pred="{209075A6-59EF-48B3-9609-AE8469917D93}"/>
            </a:ext>
          </a:extLst>
        </xdr:cNvPr>
        <xdr:cNvSpPr/>
      </xdr:nvSpPr>
      <xdr:spPr>
        <a:xfrm>
          <a:off x="5010150" y="6143625"/>
          <a:ext cx="21907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1</xdr:col>
      <xdr:colOff>542925</xdr:colOff>
      <xdr:row>36</xdr:row>
      <xdr:rowOff>104775</xdr:rowOff>
    </xdr:from>
    <xdr:to>
      <xdr:col>2</xdr:col>
      <xdr:colOff>152400</xdr:colOff>
      <xdr:row>49</xdr:row>
      <xdr:rowOff>76200</xdr:rowOff>
    </xdr:to>
    <xdr:sp macro="" textlink="">
      <xdr:nvSpPr>
        <xdr:cNvPr id="13" name="Down Arrow 22">
          <a:extLst>
            <a:ext uri="{FF2B5EF4-FFF2-40B4-BE49-F238E27FC236}">
              <a16:creationId xmlns:a16="http://schemas.microsoft.com/office/drawing/2014/main" id="{AD9F8074-FC27-49CA-98A3-2F0963B15449}"/>
            </a:ext>
            <a:ext uri="{147F2762-F138-4A5C-976F-8EAC2B608ADB}">
              <a16:predDERef xmlns:a16="http://schemas.microsoft.com/office/drawing/2014/main" pred="{ACE7EF21-3E5E-4479-91C8-FD7A4E3D552A}"/>
            </a:ext>
          </a:extLst>
        </xdr:cNvPr>
        <xdr:cNvSpPr/>
      </xdr:nvSpPr>
      <xdr:spPr>
        <a:xfrm>
          <a:off x="3914775" y="6086475"/>
          <a:ext cx="219075" cy="2447925"/>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0</xdr:col>
      <xdr:colOff>1447800</xdr:colOff>
      <xdr:row>36</xdr:row>
      <xdr:rowOff>66675</xdr:rowOff>
    </xdr:from>
    <xdr:to>
      <xdr:col>0</xdr:col>
      <xdr:colOff>1666875</xdr:colOff>
      <xdr:row>45</xdr:row>
      <xdr:rowOff>142875</xdr:rowOff>
    </xdr:to>
    <xdr:sp macro="" textlink="">
      <xdr:nvSpPr>
        <xdr:cNvPr id="14" name="Down Arrow 23">
          <a:extLst>
            <a:ext uri="{FF2B5EF4-FFF2-40B4-BE49-F238E27FC236}">
              <a16:creationId xmlns:a16="http://schemas.microsoft.com/office/drawing/2014/main" id="{1EF455AB-605C-4499-BC95-088F3B9C3E70}"/>
            </a:ext>
            <a:ext uri="{147F2762-F138-4A5C-976F-8EAC2B608ADB}">
              <a16:predDERef xmlns:a16="http://schemas.microsoft.com/office/drawing/2014/main" pred="{AD9F8074-FC27-49CA-98A3-2F0963B15449}"/>
            </a:ext>
          </a:extLst>
        </xdr:cNvPr>
        <xdr:cNvSpPr/>
      </xdr:nvSpPr>
      <xdr:spPr>
        <a:xfrm>
          <a:off x="1447800" y="6048375"/>
          <a:ext cx="219075" cy="1790700"/>
        </a:xfrm>
        <a:prstGeom prst="downArrow">
          <a:avLst/>
        </a:prstGeom>
      </xdr:spPr>
      <xdr:style>
        <a:lnRef idx="2">
          <a:schemeClr val="accent4">
            <a:shade val="15000"/>
          </a:schemeClr>
        </a:lnRef>
        <a:fillRef idx="1">
          <a:schemeClr val="accent4"/>
        </a:fillRef>
        <a:effectRef idx="0">
          <a:schemeClr val="accent4"/>
        </a:effectRef>
        <a:fontRef idx="minor">
          <a:schemeClr val="lt1"/>
        </a:fontRef>
      </xdr:style>
      <xdr:txBody>
        <a:bodyPr spcFirstLastPara="0" wrap="square" lIns="91440" tIns="45720" rIns="91440" bIns="45720" rtlCol="0" anchor="t">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l"/>
          <a:endParaRPr lang="en-US" sz="1100" b="0" i="0" u="none" strike="noStrike">
            <a:solidFill>
              <a:schemeClr val="lt1"/>
            </a:solidFill>
            <a:latin typeface="Aptos Narrow" panose="020B0004020202020204" pitchFamily="34" charset="0"/>
          </a:endParaRPr>
        </a:p>
      </xdr:txBody>
    </xdr:sp>
    <xdr:clientData/>
  </xdr:twoCellAnchor>
  <xdr:twoCellAnchor>
    <xdr:from>
      <xdr:col>13</xdr:col>
      <xdr:colOff>581025</xdr:colOff>
      <xdr:row>32</xdr:row>
      <xdr:rowOff>180975</xdr:rowOff>
    </xdr:from>
    <xdr:to>
      <xdr:col>21</xdr:col>
      <xdr:colOff>276225</xdr:colOff>
      <xdr:row>48</xdr:row>
      <xdr:rowOff>85725</xdr:rowOff>
    </xdr:to>
    <xdr:graphicFrame macro="">
      <xdr:nvGraphicFramePr>
        <xdr:cNvPr id="15" name="Chart 24">
          <a:extLst>
            <a:ext uri="{FF2B5EF4-FFF2-40B4-BE49-F238E27FC236}">
              <a16:creationId xmlns:a16="http://schemas.microsoft.com/office/drawing/2014/main" id="{79BC3494-E3C4-41F7-95EA-0F4916F49FF6}"/>
            </a:ext>
            <a:ext uri="{147F2762-F138-4A5C-976F-8EAC2B608ADB}">
              <a16:predDERef xmlns:a16="http://schemas.microsoft.com/office/drawing/2014/main" pred="{1EF455AB-605C-4499-BC95-088F3B9C3E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533400</xdr:colOff>
      <xdr:row>7</xdr:row>
      <xdr:rowOff>38100</xdr:rowOff>
    </xdr:from>
    <xdr:to>
      <xdr:col>21</xdr:col>
      <xdr:colOff>228600</xdr:colOff>
      <xdr:row>20</xdr:row>
      <xdr:rowOff>38100</xdr:rowOff>
    </xdr:to>
    <xdr:graphicFrame macro="">
      <xdr:nvGraphicFramePr>
        <xdr:cNvPr id="16" name="Chart 25">
          <a:extLst>
            <a:ext uri="{FF2B5EF4-FFF2-40B4-BE49-F238E27FC236}">
              <a16:creationId xmlns:a16="http://schemas.microsoft.com/office/drawing/2014/main" id="{B254E38A-8A2D-4F02-AF6D-A66E525D73E5}"/>
            </a:ext>
            <a:ext uri="{147F2762-F138-4A5C-976F-8EAC2B608ADB}">
              <a16:predDERef xmlns:a16="http://schemas.microsoft.com/office/drawing/2014/main" pred="{79BC3494-E3C4-41F7-95EA-0F4916F49F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meteostat.net/en/station/72530?t=2025-08-17/2025-08-17"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meteostat.net/en/station/72530?t=2025-10-06/2025-10-08"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meteostat.net/en/station/72530?t=2025-08-17/2025-08-1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BEB23-7A50-4108-82C4-9B9B00139CE2}">
  <dimension ref="A1:A20"/>
  <sheetViews>
    <sheetView tabSelected="1" workbookViewId="0">
      <selection activeCell="A22" sqref="A22"/>
    </sheetView>
  </sheetViews>
  <sheetFormatPr defaultRowHeight="15"/>
  <cols>
    <col min="1" max="1" width="224.42578125" customWidth="1"/>
  </cols>
  <sheetData>
    <row r="1" spans="1:1" ht="21">
      <c r="A1" s="7" t="s">
        <v>0</v>
      </c>
    </row>
    <row r="4" spans="1:1">
      <c r="A4" t="s">
        <v>1</v>
      </c>
    </row>
    <row r="5" spans="1:1">
      <c r="A5" t="s">
        <v>2</v>
      </c>
    </row>
    <row r="6" spans="1:1">
      <c r="A6" t="s">
        <v>3</v>
      </c>
    </row>
    <row r="8" spans="1:1">
      <c r="A8" t="s">
        <v>4</v>
      </c>
    </row>
    <row r="9" spans="1:1">
      <c r="A9" t="s">
        <v>5</v>
      </c>
    </row>
    <row r="10" spans="1:1">
      <c r="A10" t="s">
        <v>6</v>
      </c>
    </row>
    <row r="12" spans="1:1">
      <c r="A12" t="s">
        <v>7</v>
      </c>
    </row>
    <row r="13" spans="1:1">
      <c r="A13" t="s">
        <v>8</v>
      </c>
    </row>
    <row r="14" spans="1:1">
      <c r="A14" t="s">
        <v>9</v>
      </c>
    </row>
    <row r="15" spans="1:1">
      <c r="A15" t="s">
        <v>10</v>
      </c>
    </row>
    <row r="19" spans="1:1">
      <c r="A19" s="14" t="s">
        <v>11</v>
      </c>
    </row>
    <row r="20" spans="1:1">
      <c r="A20" t="s">
        <v>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90E7F-F4B8-43C3-B4A3-262510A1428B}">
  <dimension ref="A1:Z34"/>
  <sheetViews>
    <sheetView workbookViewId="0"/>
  </sheetViews>
  <sheetFormatPr defaultRowHeight="15"/>
  <cols>
    <col min="1" max="1" width="50.5703125" customWidth="1"/>
    <col min="2" max="2" width="10" bestFit="1" customWidth="1"/>
    <col min="3" max="3" width="9.28515625" bestFit="1" customWidth="1"/>
    <col min="4" max="4" width="10.42578125" bestFit="1" customWidth="1"/>
    <col min="8" max="8" width="9.28515625" bestFit="1" customWidth="1"/>
  </cols>
  <sheetData>
    <row r="1" spans="1:16" ht="21">
      <c r="A1" s="7" t="s">
        <v>13</v>
      </c>
    </row>
    <row r="2" spans="1:16">
      <c r="A2" t="s">
        <v>14</v>
      </c>
      <c r="B2" s="8" t="s">
        <v>15</v>
      </c>
    </row>
    <row r="3" spans="1:16">
      <c r="A3" t="s">
        <v>16</v>
      </c>
      <c r="B3" s="16" t="s">
        <v>15</v>
      </c>
    </row>
    <row r="4" spans="1:16">
      <c r="A4" t="s">
        <v>17</v>
      </c>
      <c r="B4" s="3" t="s">
        <v>18</v>
      </c>
    </row>
    <row r="5" spans="1:16">
      <c r="A5" t="s">
        <v>19</v>
      </c>
      <c r="B5" s="13">
        <f>SUM(B24:Y24)</f>
        <v>0</v>
      </c>
    </row>
    <row r="7" spans="1:16">
      <c r="A7" t="s">
        <v>20</v>
      </c>
      <c r="B7" s="8">
        <v>1000</v>
      </c>
      <c r="P7" s="4"/>
    </row>
    <row r="8" spans="1:16">
      <c r="A8" t="s">
        <v>21</v>
      </c>
      <c r="B8" s="8">
        <v>0.7</v>
      </c>
      <c r="C8" s="17" t="s">
        <v>22</v>
      </c>
      <c r="P8" s="4"/>
    </row>
    <row r="9" spans="1:16">
      <c r="A9" t="s">
        <v>23</v>
      </c>
      <c r="B9" s="15">
        <f>B7*B8</f>
        <v>700</v>
      </c>
      <c r="C9" s="5"/>
      <c r="P9" s="4"/>
    </row>
    <row r="10" spans="1:16">
      <c r="P10" s="4"/>
    </row>
    <row r="11" spans="1:16">
      <c r="A11" t="s">
        <v>24</v>
      </c>
      <c r="B11" s="8">
        <v>60</v>
      </c>
      <c r="P11" s="4"/>
    </row>
    <row r="12" spans="1:16">
      <c r="A12" t="s">
        <v>25</v>
      </c>
      <c r="B12" s="15">
        <f>B11*12*12</f>
        <v>8640</v>
      </c>
      <c r="P12" s="4"/>
    </row>
    <row r="13" spans="1:16">
      <c r="A13" t="s">
        <v>26</v>
      </c>
      <c r="B13" s="8">
        <v>8</v>
      </c>
      <c r="P13" s="4"/>
    </row>
    <row r="14" spans="1:16">
      <c r="A14" t="s">
        <v>27</v>
      </c>
      <c r="B14" s="15">
        <f>B11*(B13/12)</f>
        <v>40</v>
      </c>
    </row>
    <row r="15" spans="1:16">
      <c r="A15" t="s">
        <v>28</v>
      </c>
      <c r="B15" s="15">
        <f>B14*12*12*12</f>
        <v>69120</v>
      </c>
    </row>
    <row r="17" spans="1:26">
      <c r="A17" t="s">
        <v>29</v>
      </c>
    </row>
    <row r="18" spans="1:26">
      <c r="A18" t="s">
        <v>30</v>
      </c>
      <c r="B18" s="8">
        <v>0.55000000000000004</v>
      </c>
      <c r="C18" t="s">
        <v>31</v>
      </c>
    </row>
    <row r="19" spans="1:26">
      <c r="A19" t="s">
        <v>32</v>
      </c>
      <c r="B19" s="15">
        <f>(B11*12*12)*B18*1</f>
        <v>4752</v>
      </c>
      <c r="C19" s="14" t="s">
        <v>33</v>
      </c>
    </row>
    <row r="20" spans="1:26">
      <c r="C20" s="1"/>
      <c r="D20" s="1"/>
      <c r="E20" s="1"/>
      <c r="F20" s="1"/>
      <c r="G20" s="1"/>
      <c r="H20" s="1"/>
    </row>
    <row r="21" spans="1:26">
      <c r="C21" s="1"/>
      <c r="D21" s="1"/>
      <c r="E21" s="1"/>
      <c r="F21" s="1"/>
      <c r="G21" s="1"/>
      <c r="H21" s="1"/>
    </row>
    <row r="22" spans="1:26">
      <c r="A22" t="s">
        <v>34</v>
      </c>
      <c r="B22" s="18">
        <v>0</v>
      </c>
      <c r="C22" s="18">
        <v>4.1666666666666699E-2</v>
      </c>
      <c r="D22" s="18">
        <v>8.3333333333333301E-2</v>
      </c>
      <c r="E22" s="18">
        <v>0.125</v>
      </c>
      <c r="F22" s="18">
        <v>0.16666666666666699</v>
      </c>
      <c r="G22" s="18">
        <v>0.20833333333333301</v>
      </c>
      <c r="H22" s="18">
        <v>0.25</v>
      </c>
      <c r="I22" s="18">
        <v>0.29166666666666702</v>
      </c>
      <c r="J22" s="18">
        <v>0.33333333333333298</v>
      </c>
      <c r="K22" s="18">
        <v>0.375</v>
      </c>
      <c r="L22" s="18">
        <v>0.41666666666666702</v>
      </c>
      <c r="M22" s="18">
        <v>0.45833333333333398</v>
      </c>
      <c r="N22" s="18">
        <v>0.500000000000001</v>
      </c>
      <c r="O22" s="18">
        <v>0.54166666666666796</v>
      </c>
      <c r="P22" s="18">
        <v>0.58333333333333504</v>
      </c>
      <c r="Q22" s="18">
        <v>0.625000000000002</v>
      </c>
      <c r="R22" s="18">
        <v>0.66666666666666896</v>
      </c>
      <c r="S22" s="18">
        <v>0.70833333333333603</v>
      </c>
      <c r="T22" s="18">
        <v>0.750000000000003</v>
      </c>
      <c r="U22" s="18">
        <v>0.79166666666666996</v>
      </c>
      <c r="V22" s="18">
        <v>0.83333333333333703</v>
      </c>
      <c r="W22" s="18">
        <v>0.875000000000004</v>
      </c>
      <c r="X22" s="18">
        <v>0.91666666666667096</v>
      </c>
      <c r="Y22" s="18">
        <v>0.95833333333333803</v>
      </c>
      <c r="Z22" s="1"/>
    </row>
    <row r="23" spans="1:26">
      <c r="A23" t="s">
        <v>35</v>
      </c>
      <c r="B23" s="8">
        <v>0</v>
      </c>
      <c r="C23" s="8">
        <v>0</v>
      </c>
      <c r="D23" s="8">
        <v>0</v>
      </c>
      <c r="E23" s="8">
        <v>0</v>
      </c>
      <c r="F23" s="8">
        <v>0</v>
      </c>
      <c r="G23" s="8">
        <v>0</v>
      </c>
      <c r="H23" s="8">
        <v>0</v>
      </c>
      <c r="I23" s="8">
        <v>0</v>
      </c>
      <c r="J23" s="8">
        <v>0</v>
      </c>
      <c r="K23" s="8">
        <v>0</v>
      </c>
      <c r="L23" s="8">
        <v>0</v>
      </c>
      <c r="M23" s="8">
        <v>0</v>
      </c>
      <c r="N23" s="8">
        <v>0</v>
      </c>
      <c r="O23" s="8">
        <v>0</v>
      </c>
      <c r="P23" s="8">
        <v>0</v>
      </c>
      <c r="Q23" s="8">
        <v>0</v>
      </c>
      <c r="R23" s="8">
        <v>0</v>
      </c>
      <c r="S23" s="8">
        <v>0</v>
      </c>
      <c r="T23" s="8">
        <v>0</v>
      </c>
      <c r="U23" s="8">
        <v>0</v>
      </c>
      <c r="V23" s="8">
        <v>0</v>
      </c>
      <c r="W23" s="8">
        <v>0</v>
      </c>
      <c r="X23" s="8">
        <v>0</v>
      </c>
      <c r="Y23" s="8">
        <v>0</v>
      </c>
    </row>
    <row r="24" spans="1:26">
      <c r="A24" s="12" t="s">
        <v>36</v>
      </c>
      <c r="B24" s="13">
        <f>B23*0.03937</f>
        <v>0</v>
      </c>
      <c r="C24" s="13">
        <f>C23*0.03937</f>
        <v>0</v>
      </c>
      <c r="D24" s="13">
        <f>D23*0.03937</f>
        <v>0</v>
      </c>
      <c r="E24" s="13">
        <f>E23*0.03937</f>
        <v>0</v>
      </c>
      <c r="F24" s="13">
        <f>F23*0.03937</f>
        <v>0</v>
      </c>
      <c r="G24" s="13">
        <f>G23*0.03937</f>
        <v>0</v>
      </c>
      <c r="H24" s="13">
        <f>H23*0.03937</f>
        <v>0</v>
      </c>
      <c r="I24" s="13">
        <f>I23*0.03937</f>
        <v>0</v>
      </c>
      <c r="J24" s="13">
        <f>J23*0.03937</f>
        <v>0</v>
      </c>
      <c r="K24" s="13">
        <f>K23*0.03937</f>
        <v>0</v>
      </c>
      <c r="L24" s="13">
        <f>L23*0.03937</f>
        <v>0</v>
      </c>
      <c r="M24" s="13">
        <f>M23*0.03937</f>
        <v>0</v>
      </c>
      <c r="N24" s="13">
        <f>N23*0.03937</f>
        <v>0</v>
      </c>
      <c r="O24" s="13">
        <f t="shared" ref="O24:Y24" si="0">O23*0.03937</f>
        <v>0</v>
      </c>
      <c r="P24" s="13">
        <f t="shared" si="0"/>
        <v>0</v>
      </c>
      <c r="Q24" s="13">
        <f t="shared" si="0"/>
        <v>0</v>
      </c>
      <c r="R24" s="13">
        <f t="shared" si="0"/>
        <v>0</v>
      </c>
      <c r="S24" s="13">
        <f t="shared" si="0"/>
        <v>0</v>
      </c>
      <c r="T24" s="13">
        <f t="shared" si="0"/>
        <v>0</v>
      </c>
      <c r="U24" s="13">
        <f t="shared" si="0"/>
        <v>0</v>
      </c>
      <c r="V24" s="13">
        <f t="shared" si="0"/>
        <v>0</v>
      </c>
      <c r="W24" s="13">
        <f t="shared" si="0"/>
        <v>0</v>
      </c>
      <c r="X24" s="13">
        <f t="shared" si="0"/>
        <v>0</v>
      </c>
      <c r="Y24" s="13">
        <f t="shared" si="0"/>
        <v>0</v>
      </c>
    </row>
    <row r="26" spans="1:26">
      <c r="A26" t="s">
        <v>37</v>
      </c>
      <c r="B26">
        <v>0</v>
      </c>
      <c r="C26" s="9">
        <f>B30</f>
        <v>0</v>
      </c>
      <c r="D26" s="9">
        <f>C30</f>
        <v>0</v>
      </c>
      <c r="E26" s="9">
        <f t="shared" ref="E26:Y26" si="1">D30</f>
        <v>0</v>
      </c>
      <c r="F26" s="9">
        <f t="shared" si="1"/>
        <v>0</v>
      </c>
      <c r="G26" s="9">
        <f t="shared" si="1"/>
        <v>0</v>
      </c>
      <c r="H26" s="9">
        <f t="shared" si="1"/>
        <v>0</v>
      </c>
      <c r="I26" s="9">
        <f t="shared" si="1"/>
        <v>0</v>
      </c>
      <c r="J26" s="9">
        <f t="shared" si="1"/>
        <v>0</v>
      </c>
      <c r="K26" s="9">
        <f t="shared" si="1"/>
        <v>0</v>
      </c>
      <c r="L26" s="9">
        <f t="shared" si="1"/>
        <v>0</v>
      </c>
      <c r="M26" s="9">
        <f t="shared" si="1"/>
        <v>0</v>
      </c>
      <c r="N26" s="9">
        <f t="shared" si="1"/>
        <v>0</v>
      </c>
      <c r="O26" s="9">
        <f t="shared" si="1"/>
        <v>0</v>
      </c>
      <c r="P26" s="9">
        <f t="shared" si="1"/>
        <v>0</v>
      </c>
      <c r="Q26" s="9">
        <f t="shared" si="1"/>
        <v>0</v>
      </c>
      <c r="R26" s="9">
        <f t="shared" si="1"/>
        <v>0</v>
      </c>
      <c r="S26" s="9">
        <f t="shared" si="1"/>
        <v>0</v>
      </c>
      <c r="T26" s="9">
        <f t="shared" si="1"/>
        <v>0</v>
      </c>
      <c r="U26" s="9">
        <f t="shared" si="1"/>
        <v>0</v>
      </c>
      <c r="V26" s="9">
        <f t="shared" si="1"/>
        <v>0</v>
      </c>
      <c r="W26" s="9">
        <f t="shared" si="1"/>
        <v>0</v>
      </c>
      <c r="X26" s="9">
        <f t="shared" si="1"/>
        <v>0</v>
      </c>
      <c r="Y26" s="9">
        <f t="shared" si="1"/>
        <v>0</v>
      </c>
    </row>
    <row r="27" spans="1:26">
      <c r="A27" t="s">
        <v>38</v>
      </c>
      <c r="B27" s="9">
        <f>(B24*12*12)*$B$9</f>
        <v>0</v>
      </c>
      <c r="C27" s="9">
        <f>(C24*12*12)*$B$9</f>
        <v>0</v>
      </c>
      <c r="D27" s="9">
        <f>(D24*12*12)*$B$9</f>
        <v>0</v>
      </c>
      <c r="E27" s="9">
        <f t="shared" ref="E27:Y27" si="2">(E24*12*12)*$B$9</f>
        <v>0</v>
      </c>
      <c r="F27" s="9">
        <f t="shared" si="2"/>
        <v>0</v>
      </c>
      <c r="G27" s="9">
        <f t="shared" si="2"/>
        <v>0</v>
      </c>
      <c r="H27" s="9">
        <f t="shared" si="2"/>
        <v>0</v>
      </c>
      <c r="I27" s="9">
        <f t="shared" si="2"/>
        <v>0</v>
      </c>
      <c r="J27" s="9">
        <f>(J24*12*12)*$B$9</f>
        <v>0</v>
      </c>
      <c r="K27" s="9">
        <f t="shared" si="2"/>
        <v>0</v>
      </c>
      <c r="L27" s="9">
        <f t="shared" si="2"/>
        <v>0</v>
      </c>
      <c r="M27" s="9">
        <f t="shared" si="2"/>
        <v>0</v>
      </c>
      <c r="N27" s="9">
        <f t="shared" si="2"/>
        <v>0</v>
      </c>
      <c r="O27" s="9">
        <f t="shared" si="2"/>
        <v>0</v>
      </c>
      <c r="P27" s="9">
        <f t="shared" si="2"/>
        <v>0</v>
      </c>
      <c r="Q27" s="9">
        <f t="shared" si="2"/>
        <v>0</v>
      </c>
      <c r="R27" s="9">
        <f t="shared" si="2"/>
        <v>0</v>
      </c>
      <c r="S27" s="9">
        <f t="shared" si="2"/>
        <v>0</v>
      </c>
      <c r="T27" s="9">
        <f t="shared" si="2"/>
        <v>0</v>
      </c>
      <c r="U27" s="9">
        <f t="shared" si="2"/>
        <v>0</v>
      </c>
      <c r="V27" s="9">
        <f t="shared" si="2"/>
        <v>0</v>
      </c>
      <c r="W27" s="9">
        <f t="shared" si="2"/>
        <v>0</v>
      </c>
      <c r="X27" s="9">
        <f t="shared" si="2"/>
        <v>0</v>
      </c>
      <c r="Y27" s="9">
        <f t="shared" si="2"/>
        <v>0</v>
      </c>
    </row>
    <row r="28" spans="1:26">
      <c r="A28" t="s">
        <v>39</v>
      </c>
      <c r="B28" s="9">
        <f>IF(B24&gt;0,$B$19,0)</f>
        <v>0</v>
      </c>
      <c r="C28" s="9">
        <f>IF(C26+C27&gt;0,$B$19,0)</f>
        <v>0</v>
      </c>
      <c r="D28" s="9">
        <f t="shared" ref="D28:Y28" si="3">IF(D26+D27&gt;0,$B$19,0)</f>
        <v>0</v>
      </c>
      <c r="E28" s="9">
        <f t="shared" si="3"/>
        <v>0</v>
      </c>
      <c r="F28" s="9">
        <f t="shared" si="3"/>
        <v>0</v>
      </c>
      <c r="G28" s="9">
        <f>IF(G26+G27&gt;0,$B$19,0)</f>
        <v>0</v>
      </c>
      <c r="H28" s="9">
        <f t="shared" si="3"/>
        <v>0</v>
      </c>
      <c r="I28" s="9">
        <f t="shared" si="3"/>
        <v>0</v>
      </c>
      <c r="J28" s="9">
        <f t="shared" si="3"/>
        <v>0</v>
      </c>
      <c r="K28" s="9">
        <f t="shared" si="3"/>
        <v>0</v>
      </c>
      <c r="L28" s="9">
        <f t="shared" si="3"/>
        <v>0</v>
      </c>
      <c r="M28" s="9">
        <f t="shared" si="3"/>
        <v>0</v>
      </c>
      <c r="N28" s="9">
        <f t="shared" si="3"/>
        <v>0</v>
      </c>
      <c r="O28" s="9">
        <f t="shared" si="3"/>
        <v>0</v>
      </c>
      <c r="P28" s="9">
        <f t="shared" si="3"/>
        <v>0</v>
      </c>
      <c r="Q28" s="9">
        <f t="shared" si="3"/>
        <v>0</v>
      </c>
      <c r="R28" s="9">
        <f t="shared" si="3"/>
        <v>0</v>
      </c>
      <c r="S28" s="9">
        <f t="shared" si="3"/>
        <v>0</v>
      </c>
      <c r="T28" s="9">
        <f t="shared" si="3"/>
        <v>0</v>
      </c>
      <c r="U28" s="9">
        <f t="shared" si="3"/>
        <v>0</v>
      </c>
      <c r="V28" s="9">
        <f t="shared" si="3"/>
        <v>0</v>
      </c>
      <c r="W28" s="9">
        <f t="shared" si="3"/>
        <v>0</v>
      </c>
      <c r="X28" s="9">
        <f t="shared" si="3"/>
        <v>0</v>
      </c>
      <c r="Y28" s="9">
        <f t="shared" si="3"/>
        <v>0</v>
      </c>
    </row>
    <row r="29" spans="1:26">
      <c r="A29" t="s">
        <v>40</v>
      </c>
      <c r="B29" s="9" t="str">
        <f>IF(SUM(B26+B27&gt;($B$14*12^3)),"yes","no")</f>
        <v>no</v>
      </c>
      <c r="C29" s="9" t="str">
        <f>IF(SUM(C26+C27&gt;($B$14*12^3)),"yes","no")</f>
        <v>no</v>
      </c>
      <c r="D29" s="9" t="str">
        <f t="shared" ref="D29:Y29" si="4">IF(SUM(D26+D27&gt;($B$14*12^3)),"yes","no")</f>
        <v>no</v>
      </c>
      <c r="E29" s="9" t="str">
        <f t="shared" si="4"/>
        <v>no</v>
      </c>
      <c r="F29" s="9" t="str">
        <f t="shared" si="4"/>
        <v>no</v>
      </c>
      <c r="G29" s="9" t="str">
        <f t="shared" si="4"/>
        <v>no</v>
      </c>
      <c r="H29" s="9" t="str">
        <f t="shared" si="4"/>
        <v>no</v>
      </c>
      <c r="I29" s="9" t="str">
        <f t="shared" si="4"/>
        <v>no</v>
      </c>
      <c r="J29" s="9" t="str">
        <f t="shared" si="4"/>
        <v>no</v>
      </c>
      <c r="K29" s="9" t="str">
        <f t="shared" si="4"/>
        <v>no</v>
      </c>
      <c r="L29" s="9" t="str">
        <f t="shared" si="4"/>
        <v>no</v>
      </c>
      <c r="M29" s="9" t="str">
        <f t="shared" si="4"/>
        <v>no</v>
      </c>
      <c r="N29" s="9" t="str">
        <f t="shared" si="4"/>
        <v>no</v>
      </c>
      <c r="O29" s="9" t="str">
        <f t="shared" si="4"/>
        <v>no</v>
      </c>
      <c r="P29" s="9" t="str">
        <f t="shared" si="4"/>
        <v>no</v>
      </c>
      <c r="Q29" s="9" t="str">
        <f t="shared" si="4"/>
        <v>no</v>
      </c>
      <c r="R29" s="9" t="str">
        <f t="shared" si="4"/>
        <v>no</v>
      </c>
      <c r="S29" s="9" t="str">
        <f t="shared" si="4"/>
        <v>no</v>
      </c>
      <c r="T29" s="9" t="str">
        <f t="shared" si="4"/>
        <v>no</v>
      </c>
      <c r="U29" s="9" t="str">
        <f t="shared" si="4"/>
        <v>no</v>
      </c>
      <c r="V29" s="9" t="str">
        <f t="shared" si="4"/>
        <v>no</v>
      </c>
      <c r="W29" s="9" t="str">
        <f t="shared" si="4"/>
        <v>no</v>
      </c>
      <c r="X29" s="9" t="str">
        <f t="shared" si="4"/>
        <v>no</v>
      </c>
      <c r="Y29" s="9" t="str">
        <f t="shared" si="4"/>
        <v>no</v>
      </c>
    </row>
    <row r="30" spans="1:26">
      <c r="A30" t="s">
        <v>41</v>
      </c>
      <c r="B30" s="9" cm="1">
        <f t="array" ref="B30">_xlfn.IFS(B26+B27-B28&lt;0,0,B29="no",B26+B27-B28,B29="yes",$B$14*12^3)</f>
        <v>0</v>
      </c>
      <c r="C30" s="9" cm="1">
        <f t="array" ref="C30">_xlfn.IFS(C26+C27-C28&lt;0,0,C29="no",C26+C27-C28,C29="yes",$B$14*12^3)</f>
        <v>0</v>
      </c>
      <c r="D30" s="9" cm="1">
        <f t="array" ref="D30">_xlfn.IFS(D26+D27-D28&lt;0,0,D29="no",D26+D27-D28,D29="yes",$B$14*12^3)</f>
        <v>0</v>
      </c>
      <c r="E30" s="9" cm="1">
        <f t="array" ref="E30">_xlfn.IFS(E26+E27-E28&lt;0,0,E29="no",E26+E27-E28,E29="yes",$B$14*12^3)</f>
        <v>0</v>
      </c>
      <c r="F30" s="9" cm="1">
        <f t="array" ref="F30">_xlfn.IFS(F26+F27-F28&lt;0,0,F29="no",F26+F27-F28,F29="yes",$B$14*12^3)</f>
        <v>0</v>
      </c>
      <c r="G30" s="9" cm="1">
        <f t="array" ref="G30">_xlfn.IFS(G26+G27-G28&lt;0,0,G29="no",G26+G27-G28,G29="yes",$B$14*12^3)</f>
        <v>0</v>
      </c>
      <c r="H30" s="9" cm="1">
        <f t="array" ref="H30">_xlfn.IFS(H26+H27-H28&lt;0,0,H29="no",H26+H27-H28,H29="yes",$B$14*12^3)</f>
        <v>0</v>
      </c>
      <c r="I30" s="9" cm="1">
        <f t="array" ref="I30">_xlfn.IFS(I26+I27-I28&lt;0,0,I29="no",I26+I27-I28,I29="yes",$B$14*12^3)</f>
        <v>0</v>
      </c>
      <c r="J30" s="9" cm="1">
        <f t="array" ref="J30">_xlfn.IFS(J26+J27-J28&lt;0,0,J29="no",J26+J27-J28,J29="yes",$B$14*12^3)</f>
        <v>0</v>
      </c>
      <c r="K30" s="9" cm="1">
        <f t="array" ref="K30">_xlfn.IFS(K26+K27-K28&lt;0,0,K29="no",K26+K27-K28,K29="yes",$B$14*12^3)</f>
        <v>0</v>
      </c>
      <c r="L30" s="9" cm="1">
        <f t="array" ref="L30">_xlfn.IFS(L26+L27-L28&lt;0,0,L29="no",L26+L27-L28,L29="yes",$B$14*12^3)</f>
        <v>0</v>
      </c>
      <c r="M30" s="9" cm="1">
        <f t="array" ref="M30">_xlfn.IFS(M26+M27-M28&lt;0,0,M29="no",M26+M27-M28,M29="yes",$B$14*12^3)</f>
        <v>0</v>
      </c>
      <c r="N30" s="9" cm="1">
        <f t="array" ref="N30">_xlfn.IFS(N26+N27-N28&lt;0,0,N29="no",N26+N27-N28,N29="yes",$B$14*12^3)</f>
        <v>0</v>
      </c>
      <c r="O30" s="9" cm="1">
        <f t="array" ref="O30">_xlfn.IFS(O26+O27-O28&lt;0,0,O29="no",O26+O27-O28,O29="yes",$B$14*12^3)</f>
        <v>0</v>
      </c>
      <c r="P30" s="9" cm="1">
        <f t="array" ref="P30">_xlfn.IFS(P26+P27-P28&lt;0,0,P29="no",P26+P27-P28,P29="yes",$B$14*12^3)</f>
        <v>0</v>
      </c>
      <c r="Q30" s="9" cm="1">
        <f t="array" ref="Q30">_xlfn.IFS(Q26+Q27-Q28&lt;0,0,Q29="no",Q26+Q27-Q28,Q29="yes",$B$14*12^3)</f>
        <v>0</v>
      </c>
      <c r="R30" s="9" cm="1">
        <f t="array" ref="R30">_xlfn.IFS(R26+R27-R28&lt;0,0,R29="no",R26+R27-R28,R29="yes",$B$14*12^3)</f>
        <v>0</v>
      </c>
      <c r="S30" s="9" cm="1">
        <f t="array" ref="S30">_xlfn.IFS(S26+S27-S28&lt;0,0,S29="no",S26+S27-S28,S29="yes",$B$14*12^3)</f>
        <v>0</v>
      </c>
      <c r="T30" s="9" cm="1">
        <f t="array" ref="T30">_xlfn.IFS(T26+T27-T28&lt;0,0,T29="no",T26+T27-T28,T29="yes",$B$14*12^3)</f>
        <v>0</v>
      </c>
      <c r="U30" s="9" cm="1">
        <f t="array" ref="U30">_xlfn.IFS(U26+U27-U28&lt;0,0,U29="no",U26+U27-U28,U29="yes",$B$14*12^3)</f>
        <v>0</v>
      </c>
      <c r="V30" s="9">
        <f t="shared" ref="V30:X30" si="5">IF(V29="no",V26+V27-V28,$B$14*12^3)</f>
        <v>0</v>
      </c>
      <c r="W30" s="9">
        <f t="shared" si="5"/>
        <v>0</v>
      </c>
      <c r="X30" s="9">
        <f t="shared" si="5"/>
        <v>0</v>
      </c>
      <c r="Y30" s="9"/>
    </row>
    <row r="31" spans="1:26">
      <c r="A31" t="s">
        <v>42</v>
      </c>
      <c r="B31" s="9">
        <f>B30/12^3</f>
        <v>0</v>
      </c>
      <c r="C31" s="9">
        <f t="shared" ref="C31:Y31" si="6">C30/12^3</f>
        <v>0</v>
      </c>
      <c r="D31" s="9">
        <f t="shared" si="6"/>
        <v>0</v>
      </c>
      <c r="E31" s="9">
        <f t="shared" si="6"/>
        <v>0</v>
      </c>
      <c r="F31" s="9">
        <f t="shared" si="6"/>
        <v>0</v>
      </c>
      <c r="G31" s="9">
        <f t="shared" si="6"/>
        <v>0</v>
      </c>
      <c r="H31" s="9">
        <f t="shared" si="6"/>
        <v>0</v>
      </c>
      <c r="I31" s="9">
        <f t="shared" si="6"/>
        <v>0</v>
      </c>
      <c r="J31" s="9">
        <f t="shared" si="6"/>
        <v>0</v>
      </c>
      <c r="K31" s="9">
        <f t="shared" si="6"/>
        <v>0</v>
      </c>
      <c r="L31" s="9">
        <f t="shared" si="6"/>
        <v>0</v>
      </c>
      <c r="M31" s="9">
        <f t="shared" si="6"/>
        <v>0</v>
      </c>
      <c r="N31" s="9">
        <f t="shared" si="6"/>
        <v>0</v>
      </c>
      <c r="O31" s="9">
        <f t="shared" si="6"/>
        <v>0</v>
      </c>
      <c r="P31" s="9">
        <f t="shared" si="6"/>
        <v>0</v>
      </c>
      <c r="Q31" s="9">
        <f t="shared" si="6"/>
        <v>0</v>
      </c>
      <c r="R31" s="9">
        <f t="shared" si="6"/>
        <v>0</v>
      </c>
      <c r="S31" s="9">
        <f t="shared" si="6"/>
        <v>0</v>
      </c>
      <c r="T31" s="9">
        <f t="shared" si="6"/>
        <v>0</v>
      </c>
      <c r="U31" s="9">
        <f t="shared" si="6"/>
        <v>0</v>
      </c>
      <c r="V31" s="9">
        <f t="shared" si="6"/>
        <v>0</v>
      </c>
      <c r="W31" s="9">
        <f t="shared" si="6"/>
        <v>0</v>
      </c>
      <c r="X31" s="9">
        <f t="shared" si="6"/>
        <v>0</v>
      </c>
      <c r="Y31" s="9">
        <f t="shared" si="6"/>
        <v>0</v>
      </c>
    </row>
    <row r="34" spans="1:2">
      <c r="A34" s="6" t="s">
        <v>43</v>
      </c>
      <c r="B34" s="19">
        <f>SUM(C28:Y28)/12^3</f>
        <v>0</v>
      </c>
    </row>
  </sheetData>
  <hyperlinks>
    <hyperlink ref="B4" r:id="rId1" display="Chicago O’hare Airport | Weather History &amp; Climate | Meteostat" xr:uid="{9480E540-60A1-4E93-AA61-F547CCCDD2BB}"/>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8A79E-5CC7-4625-A167-ACE7B8694772}">
  <dimension ref="A1:Z35"/>
  <sheetViews>
    <sheetView workbookViewId="0"/>
  </sheetViews>
  <sheetFormatPr defaultRowHeight="15"/>
  <cols>
    <col min="1" max="1" width="57" customWidth="1"/>
    <col min="2" max="2" width="10" bestFit="1" customWidth="1"/>
    <col min="3" max="3" width="9.28515625" bestFit="1" customWidth="1"/>
    <col min="4" max="4" width="10.42578125" bestFit="1" customWidth="1"/>
    <col min="8" max="8" width="9.28515625" bestFit="1" customWidth="1"/>
  </cols>
  <sheetData>
    <row r="1" spans="1:16" ht="21">
      <c r="A1" s="7" t="s">
        <v>44</v>
      </c>
    </row>
    <row r="2" spans="1:16">
      <c r="A2" t="s">
        <v>14</v>
      </c>
      <c r="B2" t="s">
        <v>45</v>
      </c>
    </row>
    <row r="3" spans="1:16">
      <c r="A3" t="s">
        <v>16</v>
      </c>
      <c r="B3" s="2">
        <v>45886</v>
      </c>
    </row>
    <row r="4" spans="1:16">
      <c r="A4" t="s">
        <v>17</v>
      </c>
      <c r="B4" s="3" t="s">
        <v>46</v>
      </c>
    </row>
    <row r="5" spans="1:16">
      <c r="A5" t="s">
        <v>19</v>
      </c>
      <c r="B5" s="10">
        <f>SUM(B24:Y24)</f>
        <v>0.4</v>
      </c>
    </row>
    <row r="7" spans="1:16">
      <c r="A7" t="s">
        <v>20</v>
      </c>
      <c r="B7" s="8">
        <v>1000</v>
      </c>
      <c r="P7" s="4"/>
    </row>
    <row r="8" spans="1:16">
      <c r="A8" t="s">
        <v>21</v>
      </c>
      <c r="B8" s="8">
        <v>0.7</v>
      </c>
      <c r="C8" s="5" t="s">
        <v>22</v>
      </c>
      <c r="P8" s="4"/>
    </row>
    <row r="9" spans="1:16">
      <c r="A9" t="s">
        <v>23</v>
      </c>
      <c r="B9" s="15">
        <f>B7*B8</f>
        <v>700</v>
      </c>
      <c r="C9" s="5"/>
      <c r="P9" s="4"/>
    </row>
    <row r="10" spans="1:16">
      <c r="P10" s="4"/>
    </row>
    <row r="11" spans="1:16">
      <c r="A11" t="s">
        <v>24</v>
      </c>
      <c r="B11" s="8">
        <v>60</v>
      </c>
      <c r="P11" s="4"/>
    </row>
    <row r="12" spans="1:16">
      <c r="A12" t="s">
        <v>25</v>
      </c>
      <c r="B12" s="15">
        <f>B11*12*12</f>
        <v>8640</v>
      </c>
      <c r="P12" s="4"/>
    </row>
    <row r="13" spans="1:16">
      <c r="A13" t="s">
        <v>26</v>
      </c>
      <c r="B13" s="8">
        <v>8</v>
      </c>
      <c r="P13" s="4"/>
    </row>
    <row r="14" spans="1:16">
      <c r="A14" t="s">
        <v>27</v>
      </c>
      <c r="B14" s="15">
        <f>B11*(B13/12)</f>
        <v>40</v>
      </c>
    </row>
    <row r="15" spans="1:16">
      <c r="A15" t="s">
        <v>28</v>
      </c>
      <c r="B15" s="15">
        <f>B14*12*12*12</f>
        <v>69120</v>
      </c>
    </row>
    <row r="17" spans="1:26">
      <c r="A17" t="s">
        <v>29</v>
      </c>
    </row>
    <row r="18" spans="1:26">
      <c r="A18" t="s">
        <v>30</v>
      </c>
      <c r="B18" s="8">
        <v>0.55000000000000004</v>
      </c>
    </row>
    <row r="19" spans="1:26">
      <c r="A19" t="s">
        <v>32</v>
      </c>
      <c r="B19" s="15">
        <f>(B11*12*12)*B18*1</f>
        <v>4752</v>
      </c>
      <c r="C19" s="14" t="s">
        <v>33</v>
      </c>
    </row>
    <row r="20" spans="1:26">
      <c r="C20" s="1"/>
      <c r="D20" s="1"/>
      <c r="E20" s="1"/>
      <c r="F20" s="1"/>
      <c r="G20" s="1"/>
      <c r="H20" s="1"/>
    </row>
    <row r="21" spans="1:26">
      <c r="C21" s="1"/>
      <c r="D21" s="1"/>
      <c r="E21" s="1"/>
      <c r="F21" s="1"/>
      <c r="G21" s="1"/>
      <c r="H21" s="1"/>
    </row>
    <row r="22" spans="1:26">
      <c r="A22" t="s">
        <v>34</v>
      </c>
      <c r="B22" s="1">
        <v>0</v>
      </c>
      <c r="C22" s="1">
        <v>4.1666666666666699E-2</v>
      </c>
      <c r="D22" s="1">
        <v>8.3333333333333301E-2</v>
      </c>
      <c r="E22" s="1">
        <v>0.125</v>
      </c>
      <c r="F22" s="1">
        <v>0.16666666666666699</v>
      </c>
      <c r="G22" s="1">
        <v>0.20833333333333301</v>
      </c>
      <c r="H22" s="1">
        <v>0.25</v>
      </c>
      <c r="I22" s="1">
        <v>0.29166666666666702</v>
      </c>
      <c r="J22" s="1">
        <v>0.33333333333333298</v>
      </c>
      <c r="K22" s="1">
        <v>0.375</v>
      </c>
      <c r="L22" s="1">
        <v>0.41666666666666702</v>
      </c>
      <c r="M22" s="1">
        <v>0.45833333333333398</v>
      </c>
      <c r="N22" s="1">
        <v>0.500000000000001</v>
      </c>
      <c r="O22" s="1">
        <v>0.54166666666666796</v>
      </c>
      <c r="P22" s="1">
        <v>0.58333333333333504</v>
      </c>
      <c r="Q22" s="1">
        <v>0.625000000000002</v>
      </c>
      <c r="R22" s="1">
        <v>0.66666666666666896</v>
      </c>
      <c r="S22" s="1">
        <v>0.70833333333333603</v>
      </c>
      <c r="T22" s="1">
        <v>0.750000000000003</v>
      </c>
      <c r="U22" s="1">
        <v>0.79166666666666996</v>
      </c>
      <c r="V22" s="1">
        <v>0.83333333333333703</v>
      </c>
      <c r="W22" s="1">
        <v>0.875000000000004</v>
      </c>
      <c r="X22" s="1">
        <v>0.91666666666667096</v>
      </c>
      <c r="Y22" s="1">
        <v>0.95833333333333803</v>
      </c>
      <c r="Z22" s="1"/>
    </row>
    <row r="23" spans="1:26">
      <c r="A23" t="s">
        <v>35</v>
      </c>
    </row>
    <row r="24" spans="1:26">
      <c r="A24" s="12" t="s">
        <v>36</v>
      </c>
      <c r="B24" s="11">
        <v>0</v>
      </c>
      <c r="C24" s="11">
        <v>0.1</v>
      </c>
      <c r="D24" s="11">
        <v>0.2</v>
      </c>
      <c r="E24" s="11">
        <v>0</v>
      </c>
      <c r="F24" s="11">
        <v>0</v>
      </c>
      <c r="G24" s="11">
        <v>0</v>
      </c>
      <c r="H24" s="11">
        <v>0.1</v>
      </c>
      <c r="I24" s="11">
        <v>0</v>
      </c>
      <c r="J24" s="11">
        <v>0</v>
      </c>
      <c r="K24" s="11">
        <v>0</v>
      </c>
      <c r="L24" s="11">
        <v>0</v>
      </c>
      <c r="M24" s="11">
        <v>0</v>
      </c>
      <c r="N24" s="11">
        <v>0</v>
      </c>
      <c r="O24" s="11">
        <v>0</v>
      </c>
      <c r="P24" s="11">
        <v>0</v>
      </c>
      <c r="Q24" s="11">
        <v>0</v>
      </c>
      <c r="R24" s="11">
        <v>0</v>
      </c>
      <c r="S24" s="11">
        <v>0</v>
      </c>
      <c r="T24" s="11">
        <v>0</v>
      </c>
      <c r="U24" s="11">
        <v>0</v>
      </c>
      <c r="V24" s="11">
        <v>0</v>
      </c>
      <c r="W24" s="11">
        <v>0</v>
      </c>
      <c r="X24" s="11">
        <v>0</v>
      </c>
      <c r="Y24" s="11">
        <v>0</v>
      </c>
    </row>
    <row r="26" spans="1:26">
      <c r="A26" t="s">
        <v>37</v>
      </c>
      <c r="B26">
        <v>0</v>
      </c>
      <c r="C26" s="9">
        <f>B30</f>
        <v>0</v>
      </c>
      <c r="D26" s="9">
        <f>C30</f>
        <v>5328.0000000000018</v>
      </c>
      <c r="E26" s="9">
        <f t="shared" ref="E26:Y26" si="0">D30</f>
        <v>20736.000000000007</v>
      </c>
      <c r="F26" s="9">
        <f t="shared" si="0"/>
        <v>15984.000000000007</v>
      </c>
      <c r="G26" s="9">
        <f t="shared" si="0"/>
        <v>11232.000000000007</v>
      </c>
      <c r="H26" s="9">
        <f t="shared" si="0"/>
        <v>6480.0000000000073</v>
      </c>
      <c r="I26" s="9">
        <f t="shared" si="0"/>
        <v>11808.000000000007</v>
      </c>
      <c r="J26" s="9">
        <f t="shared" si="0"/>
        <v>7056.0000000000073</v>
      </c>
      <c r="K26" s="9">
        <f t="shared" si="0"/>
        <v>2304.0000000000073</v>
      </c>
      <c r="L26" s="9">
        <f t="shared" si="0"/>
        <v>0</v>
      </c>
      <c r="M26" s="9">
        <f t="shared" si="0"/>
        <v>0</v>
      </c>
      <c r="N26" s="9">
        <f t="shared" si="0"/>
        <v>0</v>
      </c>
      <c r="O26" s="9">
        <f t="shared" si="0"/>
        <v>0</v>
      </c>
      <c r="P26" s="9">
        <f t="shared" si="0"/>
        <v>0</v>
      </c>
      <c r="Q26" s="9">
        <f t="shared" si="0"/>
        <v>0</v>
      </c>
      <c r="R26" s="9">
        <f t="shared" si="0"/>
        <v>0</v>
      </c>
      <c r="S26" s="9">
        <f t="shared" si="0"/>
        <v>0</v>
      </c>
      <c r="T26" s="9">
        <f t="shared" si="0"/>
        <v>0</v>
      </c>
      <c r="U26" s="9">
        <f t="shared" si="0"/>
        <v>0</v>
      </c>
      <c r="V26" s="9">
        <f t="shared" si="0"/>
        <v>0</v>
      </c>
      <c r="W26" s="9">
        <f t="shared" si="0"/>
        <v>0</v>
      </c>
      <c r="X26" s="9">
        <f t="shared" si="0"/>
        <v>0</v>
      </c>
      <c r="Y26" s="9">
        <f t="shared" si="0"/>
        <v>0</v>
      </c>
    </row>
    <row r="27" spans="1:26">
      <c r="A27" t="s">
        <v>38</v>
      </c>
      <c r="B27" s="9">
        <f>(B24*12*12)*$B$9</f>
        <v>0</v>
      </c>
      <c r="C27" s="9">
        <f>(C24*12*12)*$B$9</f>
        <v>10080.000000000002</v>
      </c>
      <c r="D27" s="9">
        <f>(D24*12*12)*$B$9</f>
        <v>20160.000000000004</v>
      </c>
      <c r="E27" s="9">
        <f t="shared" ref="E27:Y27" si="1">(E24*12*12)*$B$9</f>
        <v>0</v>
      </c>
      <c r="F27" s="9">
        <f t="shared" si="1"/>
        <v>0</v>
      </c>
      <c r="G27" s="9">
        <f t="shared" si="1"/>
        <v>0</v>
      </c>
      <c r="H27" s="9">
        <f t="shared" si="1"/>
        <v>10080.000000000002</v>
      </c>
      <c r="I27" s="9">
        <f t="shared" si="1"/>
        <v>0</v>
      </c>
      <c r="J27" s="9">
        <f>(J24*12*12)*$B$9</f>
        <v>0</v>
      </c>
      <c r="K27" s="9">
        <f t="shared" si="1"/>
        <v>0</v>
      </c>
      <c r="L27" s="9">
        <f>(L24*12*12)*$B$9</f>
        <v>0</v>
      </c>
      <c r="M27" s="9">
        <f t="shared" si="1"/>
        <v>0</v>
      </c>
      <c r="N27" s="9">
        <f t="shared" si="1"/>
        <v>0</v>
      </c>
      <c r="O27" s="9">
        <f t="shared" si="1"/>
        <v>0</v>
      </c>
      <c r="P27" s="9">
        <f t="shared" si="1"/>
        <v>0</v>
      </c>
      <c r="Q27" s="9">
        <f t="shared" si="1"/>
        <v>0</v>
      </c>
      <c r="R27" s="9">
        <f t="shared" si="1"/>
        <v>0</v>
      </c>
      <c r="S27" s="9">
        <f t="shared" si="1"/>
        <v>0</v>
      </c>
      <c r="T27" s="9">
        <f t="shared" si="1"/>
        <v>0</v>
      </c>
      <c r="U27" s="9">
        <f t="shared" si="1"/>
        <v>0</v>
      </c>
      <c r="V27" s="9">
        <f t="shared" si="1"/>
        <v>0</v>
      </c>
      <c r="W27" s="9">
        <f t="shared" si="1"/>
        <v>0</v>
      </c>
      <c r="X27" s="9">
        <f t="shared" si="1"/>
        <v>0</v>
      </c>
      <c r="Y27" s="9">
        <f t="shared" si="1"/>
        <v>0</v>
      </c>
    </row>
    <row r="28" spans="1:26">
      <c r="A28" t="s">
        <v>39</v>
      </c>
      <c r="B28" s="9" cm="1">
        <f t="array" ref="B28">_xlfn.IFS(AND($B$19&gt;B26+B27,B26+B27&gt;0),B26,B26+B27&gt;$B$19,$B$19,B26+B27=0,0)</f>
        <v>0</v>
      </c>
      <c r="C28" s="9" cm="1">
        <f t="array" ref="C28">_xlfn.IFS(AND($B$19&gt;C26+C27,C26+C27&gt;0),C26,C26+C27&gt;$B$19,$B$19,C26+C27=0,0)</f>
        <v>4752</v>
      </c>
      <c r="D28" s="9" cm="1">
        <f t="array" ref="D28">_xlfn.IFS(AND($B$19&gt;D26+D27,D26+D27&gt;0),D26,D26+D27&gt;$B$19,$B$19,D26+D27=0,0)</f>
        <v>4752</v>
      </c>
      <c r="E28" s="9" cm="1">
        <f t="array" ref="E28">_xlfn.IFS(AND($B$19&gt;E26+E27,E26+E27&gt;0),E26,E26+E27&gt;$B$19,$B$19,E26+E27=0,0)</f>
        <v>4752</v>
      </c>
      <c r="F28" s="9" cm="1">
        <f t="array" ref="F28">_xlfn.IFS(AND($B$19&gt;F26+F27,F26+F27&gt;0),F26,F26+F27&gt;$B$19,$B$19,F26+F27=0,0)</f>
        <v>4752</v>
      </c>
      <c r="G28" s="9" cm="1">
        <f t="array" ref="G28">_xlfn.IFS(AND($B$19&gt;G26+G27,G26+G27&gt;0),G26,G26+G27&gt;$B$19,$B$19,G26+G27=0,0)</f>
        <v>4752</v>
      </c>
      <c r="H28" s="9" cm="1">
        <f t="array" ref="H28">_xlfn.IFS(AND($B$19&gt;H26+H27,H26+H27&gt;0),H26,H26+H27&gt;$B$19,$B$19,H26+H27=0,0)</f>
        <v>4752</v>
      </c>
      <c r="I28" s="9" cm="1">
        <f t="array" ref="I28">_xlfn.IFS(AND($B$19&gt;I26+I27,I26+I27&gt;0),I26,I26+I27&gt;$B$19,$B$19,I26+I27=0,0)</f>
        <v>4752</v>
      </c>
      <c r="J28" s="9" cm="1">
        <f t="array" ref="J28">_xlfn.IFS(AND($B$19&gt;J26+J27,J26+J27&gt;0),J26,J26+J27&gt;$B$19,$B$19,J26+J27=0,0)</f>
        <v>4752</v>
      </c>
      <c r="K28" s="9" cm="1">
        <f t="array" ref="K28">_xlfn.IFS(AND($B$19&gt;K26+K27,K26+K27&gt;0),K26,K26+K27&gt;$B$19,$B$19,K26+K27=0,0)</f>
        <v>2304.0000000000073</v>
      </c>
      <c r="L28" s="9" cm="1">
        <f t="array" ref="L28">_xlfn.IFS(AND($B$19&gt;L26+L27,L26+L27&gt;0),L26,L26+L27&gt;$B$19,$B$19,L26+L27=0,0)</f>
        <v>0</v>
      </c>
      <c r="M28" s="9" cm="1">
        <f t="array" ref="M28">_xlfn.IFS(AND($B$19&gt;M26+M27,M26+M27&gt;0),M26,M26+M27&gt;$B$19,$B$19,M26+M27=0,0)</f>
        <v>0</v>
      </c>
      <c r="N28" s="9" cm="1">
        <f t="array" ref="N28">_xlfn.IFS(AND($B$19&gt;N26+N27,N26+N27&gt;0),N26,N26+N27&gt;$B$19,$B$19,N26+N27=0,0)</f>
        <v>0</v>
      </c>
      <c r="O28" s="9" cm="1">
        <f t="array" ref="O28">_xlfn.IFS(AND($B$19&gt;O26+O27,O26+O27&gt;0),O26,O26+O27&gt;$B$19,$B$19,O26+O27=0,0)</f>
        <v>0</v>
      </c>
      <c r="P28" s="9" cm="1">
        <f t="array" ref="P28">_xlfn.IFS(AND($B$19&gt;P26+P27,P26+P27&gt;0),P26,P26+P27&gt;$B$19,$B$19,P26+P27=0,0)</f>
        <v>0</v>
      </c>
      <c r="Q28" s="9" cm="1">
        <f t="array" ref="Q28">_xlfn.IFS(AND($B$19&gt;Q26+Q27,Q26+Q27&gt;0),Q26,Q26+Q27&gt;$B$19,$B$19,Q26+Q27=0,0)</f>
        <v>0</v>
      </c>
      <c r="R28" s="9" cm="1">
        <f t="array" ref="R28">_xlfn.IFS(AND($B$19&gt;R26+R27,R26+R27&gt;0),R26,R26+R27&gt;$B$19,$B$19,R26+R27=0,0)</f>
        <v>0</v>
      </c>
      <c r="S28" s="9" cm="1">
        <f t="array" ref="S28">_xlfn.IFS(AND($B$19&gt;S26+S27,S26+S27&gt;0),S26,S26+S27&gt;$B$19,$B$19,S26+S27=0,0)</f>
        <v>0</v>
      </c>
      <c r="T28" s="9" cm="1">
        <f t="array" ref="T28">_xlfn.IFS(AND($B$19&gt;T26+T27,T26+T27&gt;0),T26,T26+T27&gt;$B$19,$B$19,T26+T27=0,0)</f>
        <v>0</v>
      </c>
      <c r="U28" s="9" cm="1">
        <f t="array" ref="U28">_xlfn.IFS(AND($B$19&gt;U26+U27,U26+U27&gt;0),U26,U26+U27&gt;$B$19,$B$19,U26+U27=0,0)</f>
        <v>0</v>
      </c>
      <c r="V28" s="9" cm="1">
        <f t="array" ref="V28">_xlfn.IFS(AND($B$19&gt;V26+V27,V26+V27&gt;0),V26,V26+V27&gt;$B$19,$B$19,V26+V27=0,0)</f>
        <v>0</v>
      </c>
      <c r="W28" s="9" cm="1">
        <f t="array" ref="W28">_xlfn.IFS(AND($B$19&gt;W26+W27,W26+W27&gt;0),W26,W26+W27&gt;$B$19,$B$19,W26+W27=0,0)</f>
        <v>0</v>
      </c>
      <c r="X28" s="9" cm="1">
        <f t="array" ref="X28">_xlfn.IFS(AND($B$19&gt;X26+X27,X26+X27&gt;0),X26,X26+X27&gt;$B$19,$B$19,X26+X27=0,0)</f>
        <v>0</v>
      </c>
      <c r="Y28" s="9" cm="1">
        <f t="array" ref="Y28">_xlfn.IFS(AND($B$19&gt;Y26+Y27,Y26+Y27&gt;0),Y26,Y26+Y27&gt;$B$19,$B$19,Y26+Y27=0,0)</f>
        <v>0</v>
      </c>
    </row>
    <row r="29" spans="1:26">
      <c r="A29" t="s">
        <v>40</v>
      </c>
      <c r="B29" s="9" t="str">
        <f>IF(SUM(B26+B27&gt;($B$14*12^3)),"yes","no")</f>
        <v>no</v>
      </c>
      <c r="C29" s="9" t="str">
        <f>IF(SUM(C26+C27&gt;($B$14*12^3)),"yes","no")</f>
        <v>no</v>
      </c>
      <c r="D29" s="9" t="str">
        <f>IF(SUM(D26+D27&gt;($B$14*12^3)),"yes","no")</f>
        <v>no</v>
      </c>
      <c r="E29" s="9" t="str">
        <f>IF(SUM(E26+E27&gt;($B$14*12^3)),"yes","no")</f>
        <v>no</v>
      </c>
      <c r="F29" s="9" t="str">
        <f>IF(SUM(F26+F27&gt;($B$14*12^3)),"yes","no")</f>
        <v>no</v>
      </c>
      <c r="G29" s="9" t="str">
        <f>IF(SUM(G26+G27&gt;($B$14*12^3)),"yes","no")</f>
        <v>no</v>
      </c>
      <c r="H29" s="9" t="str">
        <f>IF(SUM(H26+H27&gt;($B$14*12^3)),"yes","no")</f>
        <v>no</v>
      </c>
      <c r="I29" s="9" t="str">
        <f>IF(SUM(I26+I27&gt;($B$14*12^3)),"yes","no")</f>
        <v>no</v>
      </c>
      <c r="J29" s="9" t="str">
        <f>IF(SUM(J26+J27&gt;($B$14*12^3)),"yes","no")</f>
        <v>no</v>
      </c>
      <c r="K29" s="9" t="str">
        <f>IF(SUM(K26+K27&gt;($B$14*12^3)),"yes","no")</f>
        <v>no</v>
      </c>
      <c r="L29" s="9" t="str">
        <f>IF(SUM(L26+L27&gt;($B$14*12^3)),"yes","no")</f>
        <v>no</v>
      </c>
      <c r="M29" s="9" t="str">
        <f>IF(SUM(M26+M27&gt;($B$14*12^3)),"yes","no")</f>
        <v>no</v>
      </c>
      <c r="N29" s="9" t="str">
        <f>IF(SUM(N26+N27&gt;($B$14*12^3)),"yes","no")</f>
        <v>no</v>
      </c>
      <c r="O29" s="9" t="str">
        <f>IF(SUM(O26+O27&gt;($B$14*12^3)),"yes","no")</f>
        <v>no</v>
      </c>
      <c r="P29" s="9" t="str">
        <f>IF(SUM(P26+P27&gt;($B$14*12^3)),"yes","no")</f>
        <v>no</v>
      </c>
      <c r="Q29" s="9" t="str">
        <f>IF(SUM(Q26+Q27&gt;($B$14*12^3)),"yes","no")</f>
        <v>no</v>
      </c>
      <c r="R29" s="9" t="str">
        <f>IF(SUM(R26+R27&gt;($B$14*12^3)),"yes","no")</f>
        <v>no</v>
      </c>
      <c r="S29" s="9" t="str">
        <f>IF(SUM(S26+S27&gt;($B$14*12^3)),"yes","no")</f>
        <v>no</v>
      </c>
      <c r="T29" s="9" t="str">
        <f>IF(SUM(T26+T27&gt;($B$14*12^3)),"yes","no")</f>
        <v>no</v>
      </c>
      <c r="U29" s="9" t="str">
        <f>IF(SUM(U26+U27&gt;($B$14*12^3)),"yes","no")</f>
        <v>no</v>
      </c>
      <c r="V29" s="9" t="str">
        <f>IF(SUM(V26+V27&gt;($B$14*12^3)),"yes","no")</f>
        <v>no</v>
      </c>
      <c r="W29" s="9" t="str">
        <f>IF(SUM(W26+W27&gt;($B$14*12^3)),"yes","no")</f>
        <v>no</v>
      </c>
      <c r="X29" s="9" t="str">
        <f>IF(SUM(X26+X27&gt;($B$14*12^3)),"yes","no")</f>
        <v>no</v>
      </c>
      <c r="Y29" s="9" t="str">
        <f>IF(SUM(Y26+Y27&gt;($B$14*12^3)),"yes","no")</f>
        <v>no</v>
      </c>
    </row>
    <row r="30" spans="1:26">
      <c r="A30" t="s">
        <v>41</v>
      </c>
      <c r="B30" s="9" cm="1">
        <f t="array" ref="B30">_xlfn.IFS(B26+B27-B28&lt;0,0,B29="no",B26+B27-B28,B29="yes",$B$14*12^3)</f>
        <v>0</v>
      </c>
      <c r="C30" s="9" cm="1">
        <f t="array" ref="C30">_xlfn.IFS(C26+C27-C28&lt;0,0,C29="no",C26+C27-C28,C29="yes",$B$14*12^3)</f>
        <v>5328.0000000000018</v>
      </c>
      <c r="D30" s="9" cm="1">
        <f t="array" ref="D30">_xlfn.IFS(D26+D27-D28&lt;0,0,D29="no",D26+D27-D28,D29="yes",$B$14*12^3)</f>
        <v>20736.000000000007</v>
      </c>
      <c r="E30" s="9" cm="1">
        <f t="array" ref="E30">_xlfn.IFS(E26+E27-E28&lt;0,0,E29="no",E26+E27-E28,E29="yes",$B$14*12^3)</f>
        <v>15984.000000000007</v>
      </c>
      <c r="F30" s="9" cm="1">
        <f t="array" ref="F30">_xlfn.IFS(F26+F27-F28&lt;0,0,F29="no",F26+F27-F28,F29="yes",$B$14*12^3)</f>
        <v>11232.000000000007</v>
      </c>
      <c r="G30" s="9" cm="1">
        <f t="array" ref="G30">_xlfn.IFS(G26+G27-G28&lt;0,0,G29="no",G26+G27-G28,G29="yes",$B$14*12^3)</f>
        <v>6480.0000000000073</v>
      </c>
      <c r="H30" s="9" cm="1">
        <f t="array" ref="H30">_xlfn.IFS(H26+H27-H28&lt;0,0,H29="no",H26+H27-H28,H29="yes",$B$14*12^3)</f>
        <v>11808.000000000007</v>
      </c>
      <c r="I30" s="9" cm="1">
        <f t="array" ref="I30">_xlfn.IFS(I26+I27-I28&lt;0,0,I29="no",I26+I27-I28,I29="yes",$B$14*12^3)</f>
        <v>7056.0000000000073</v>
      </c>
      <c r="J30" s="9" cm="1">
        <f t="array" ref="J30">_xlfn.IFS(J26+J27-J28&lt;0,0,J29="no",J26+J27-J28,J29="yes",$B$14*12^3)</f>
        <v>2304.0000000000073</v>
      </c>
      <c r="K30" s="9" cm="1">
        <f t="array" ref="K30">_xlfn.IFS(K26+K27-K28&lt;0,0,K29="no",K26+K27-K28,K29="yes",$B$14*12^3)</f>
        <v>0</v>
      </c>
      <c r="L30" s="9" cm="1">
        <f t="array" ref="L30">_xlfn.IFS(L26+L27-L28&lt;0,0,L29="no",L26+L27-L28,L29="yes",$B$14*12^3)</f>
        <v>0</v>
      </c>
      <c r="M30" s="9" cm="1">
        <f t="array" ref="M30">_xlfn.IFS(M26+M27-M28&lt;0,0,M29="no",M26+M27-M28,M29="yes",$B$14*12^3)</f>
        <v>0</v>
      </c>
      <c r="N30" s="9" cm="1">
        <f t="array" ref="N30">_xlfn.IFS(N26+N27-N28&lt;0,0,N29="no",N26+N27-N28,N29="yes",$B$14*12^3)</f>
        <v>0</v>
      </c>
      <c r="O30" s="9" cm="1">
        <f t="array" ref="O30">_xlfn.IFS(O26+O27-O28&lt;0,0,O29="no",O26+O27-O28,O29="yes",$B$14*12^3)</f>
        <v>0</v>
      </c>
      <c r="P30" s="9" cm="1">
        <f t="array" ref="P30">_xlfn.IFS(P26+P27-P28&lt;0,0,P29="no",P26+P27-P28,P29="yes",$B$14*12^3)</f>
        <v>0</v>
      </c>
      <c r="Q30" s="9" cm="1">
        <f t="array" ref="Q30">_xlfn.IFS(Q26+Q27-Q28&lt;0,0,Q29="no",Q26+Q27-Q28,Q29="yes",$B$14*12^3)</f>
        <v>0</v>
      </c>
      <c r="R30" s="9" cm="1">
        <f t="array" ref="R30">_xlfn.IFS(R26+R27-R28&lt;0,0,R29="no",R26+R27-R28,R29="yes",$B$14*12^3)</f>
        <v>0</v>
      </c>
      <c r="S30" s="9" cm="1">
        <f t="array" ref="S30">_xlfn.IFS(S26+S27-S28&lt;0,0,S29="no",S26+S27-S28,S29="yes",$B$14*12^3)</f>
        <v>0</v>
      </c>
      <c r="T30" s="9" cm="1">
        <f t="array" ref="T30">_xlfn.IFS(T26+T27-T28&lt;0,0,T29="no",T26+T27-T28,T29="yes",$B$14*12^3)</f>
        <v>0</v>
      </c>
      <c r="U30" s="9" cm="1">
        <f t="array" ref="U30">_xlfn.IFS(U26+U27-U28&lt;0,0,U29="no",U26+U27-U28,U29="yes",$B$14*12^3)</f>
        <v>0</v>
      </c>
      <c r="V30" s="9">
        <f t="shared" ref="V30:X30" si="2">IF(V29="no",V26+V27-V28,$B$14*12^3)</f>
        <v>0</v>
      </c>
      <c r="W30" s="9">
        <f t="shared" si="2"/>
        <v>0</v>
      </c>
      <c r="X30" s="9">
        <f t="shared" si="2"/>
        <v>0</v>
      </c>
      <c r="Y30" s="9"/>
    </row>
    <row r="31" spans="1:26">
      <c r="A31" t="s">
        <v>42</v>
      </c>
      <c r="B31" s="9">
        <f>B30/12^3</f>
        <v>0</v>
      </c>
      <c r="C31" s="9">
        <f t="shared" ref="C31:Y31" si="3">C30/12^3</f>
        <v>3.0833333333333344</v>
      </c>
      <c r="D31" s="9">
        <f t="shared" si="3"/>
        <v>12.000000000000004</v>
      </c>
      <c r="E31" s="9">
        <f t="shared" si="3"/>
        <v>9.2500000000000036</v>
      </c>
      <c r="F31" s="9">
        <f t="shared" si="3"/>
        <v>6.5000000000000044</v>
      </c>
      <c r="G31" s="9">
        <f t="shared" si="3"/>
        <v>3.750000000000004</v>
      </c>
      <c r="H31" s="9">
        <f t="shared" si="3"/>
        <v>6.8333333333333375</v>
      </c>
      <c r="I31" s="9">
        <f t="shared" si="3"/>
        <v>4.0833333333333375</v>
      </c>
      <c r="J31" s="9">
        <f t="shared" si="3"/>
        <v>1.3333333333333375</v>
      </c>
      <c r="K31" s="9">
        <f t="shared" si="3"/>
        <v>0</v>
      </c>
      <c r="L31" s="9">
        <f t="shared" si="3"/>
        <v>0</v>
      </c>
      <c r="M31" s="9">
        <f t="shared" si="3"/>
        <v>0</v>
      </c>
      <c r="N31" s="9">
        <f t="shared" si="3"/>
        <v>0</v>
      </c>
      <c r="O31" s="9">
        <f t="shared" si="3"/>
        <v>0</v>
      </c>
      <c r="P31" s="9">
        <f t="shared" si="3"/>
        <v>0</v>
      </c>
      <c r="Q31" s="9">
        <f t="shared" si="3"/>
        <v>0</v>
      </c>
      <c r="R31" s="9">
        <f t="shared" si="3"/>
        <v>0</v>
      </c>
      <c r="S31" s="9">
        <f t="shared" si="3"/>
        <v>0</v>
      </c>
      <c r="T31" s="9">
        <f t="shared" si="3"/>
        <v>0</v>
      </c>
      <c r="U31" s="9">
        <f t="shared" si="3"/>
        <v>0</v>
      </c>
      <c r="V31" s="9">
        <f t="shared" si="3"/>
        <v>0</v>
      </c>
      <c r="W31" s="9">
        <f t="shared" si="3"/>
        <v>0</v>
      </c>
      <c r="X31" s="9">
        <f t="shared" si="3"/>
        <v>0</v>
      </c>
      <c r="Y31" s="9">
        <f t="shared" si="3"/>
        <v>0</v>
      </c>
    </row>
    <row r="32" spans="1:26">
      <c r="B32" s="9"/>
      <c r="C32" s="9"/>
      <c r="D32" s="9"/>
      <c r="E32" s="9"/>
      <c r="F32" s="9"/>
      <c r="G32" s="9"/>
      <c r="H32" s="9"/>
      <c r="I32" s="9"/>
      <c r="J32" s="9"/>
      <c r="K32" s="9"/>
      <c r="L32" s="9"/>
      <c r="M32" s="9"/>
      <c r="N32" s="9"/>
      <c r="O32" s="9"/>
      <c r="P32" s="9"/>
      <c r="Q32" s="9"/>
      <c r="R32" s="9"/>
      <c r="S32" s="9"/>
      <c r="T32" s="9"/>
      <c r="U32" s="9"/>
      <c r="V32" s="9"/>
      <c r="W32" s="9"/>
      <c r="X32" s="9"/>
      <c r="Y32" s="9"/>
    </row>
    <row r="34" spans="1:2">
      <c r="A34" s="6" t="s">
        <v>43</v>
      </c>
      <c r="B34" s="19">
        <f>SUM(C28:Y28)/12^3</f>
        <v>23.333333333333339</v>
      </c>
    </row>
    <row r="35" spans="1:2">
      <c r="B35" s="9"/>
    </row>
  </sheetData>
  <hyperlinks>
    <hyperlink ref="B4" r:id="rId1" xr:uid="{C4100E08-73F4-484C-BA79-44BD8F9A15BC}"/>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49366-873A-4D16-91C6-9AE543155171}">
  <dimension ref="A1:Z34"/>
  <sheetViews>
    <sheetView workbookViewId="0"/>
  </sheetViews>
  <sheetFormatPr defaultRowHeight="15"/>
  <cols>
    <col min="1" max="1" width="55.7109375" customWidth="1"/>
    <col min="2" max="2" width="10" bestFit="1" customWidth="1"/>
    <col min="3" max="3" width="9.28515625" bestFit="1" customWidth="1"/>
    <col min="4" max="4" width="10.42578125" bestFit="1" customWidth="1"/>
    <col min="8" max="8" width="9.28515625" bestFit="1" customWidth="1"/>
  </cols>
  <sheetData>
    <row r="1" spans="1:16" ht="21">
      <c r="A1" s="7" t="s">
        <v>47</v>
      </c>
    </row>
    <row r="2" spans="1:16">
      <c r="A2" t="s">
        <v>14</v>
      </c>
      <c r="B2" t="s">
        <v>45</v>
      </c>
    </row>
    <row r="3" spans="1:16">
      <c r="A3" t="s">
        <v>16</v>
      </c>
      <c r="B3" s="2">
        <v>45886</v>
      </c>
    </row>
    <row r="4" spans="1:16">
      <c r="A4" t="s">
        <v>17</v>
      </c>
      <c r="B4" s="3" t="s">
        <v>48</v>
      </c>
    </row>
    <row r="5" spans="1:16">
      <c r="A5" t="s">
        <v>19</v>
      </c>
      <c r="B5" s="13">
        <f>SUM(B24:Y24)</f>
        <v>2.1023580000000002</v>
      </c>
    </row>
    <row r="7" spans="1:16">
      <c r="A7" t="s">
        <v>20</v>
      </c>
      <c r="B7" s="8">
        <v>1000</v>
      </c>
      <c r="P7" s="4"/>
    </row>
    <row r="8" spans="1:16">
      <c r="A8" t="s">
        <v>21</v>
      </c>
      <c r="B8" s="8">
        <v>0.7</v>
      </c>
      <c r="C8" s="5" t="s">
        <v>22</v>
      </c>
      <c r="P8" s="4"/>
    </row>
    <row r="9" spans="1:16">
      <c r="A9" t="s">
        <v>23</v>
      </c>
      <c r="B9" s="15">
        <f>B7*B8</f>
        <v>700</v>
      </c>
      <c r="C9" s="5"/>
      <c r="P9" s="4"/>
    </row>
    <row r="10" spans="1:16">
      <c r="P10" s="4"/>
    </row>
    <row r="11" spans="1:16">
      <c r="A11" t="s">
        <v>24</v>
      </c>
      <c r="B11" s="8">
        <v>60</v>
      </c>
      <c r="P11" s="4"/>
    </row>
    <row r="12" spans="1:16">
      <c r="A12" t="s">
        <v>25</v>
      </c>
      <c r="B12" s="15">
        <f>B11*12*12</f>
        <v>8640</v>
      </c>
      <c r="P12" s="4"/>
    </row>
    <row r="13" spans="1:16">
      <c r="A13" t="s">
        <v>26</v>
      </c>
      <c r="B13" s="8">
        <v>8</v>
      </c>
      <c r="P13" s="4"/>
    </row>
    <row r="14" spans="1:16">
      <c r="A14" t="s">
        <v>27</v>
      </c>
      <c r="B14" s="15">
        <f>B11*(B13/12)</f>
        <v>40</v>
      </c>
    </row>
    <row r="15" spans="1:16">
      <c r="A15" t="s">
        <v>28</v>
      </c>
      <c r="B15" s="15">
        <f>B14*12*12*12</f>
        <v>69120</v>
      </c>
    </row>
    <row r="17" spans="1:26">
      <c r="A17" t="s">
        <v>29</v>
      </c>
    </row>
    <row r="18" spans="1:26">
      <c r="A18" t="s">
        <v>30</v>
      </c>
      <c r="B18" s="8">
        <v>0.55000000000000004</v>
      </c>
    </row>
    <row r="19" spans="1:26">
      <c r="A19" t="s">
        <v>32</v>
      </c>
      <c r="B19" s="15">
        <f>(B11*12*12)*B18*1</f>
        <v>4752</v>
      </c>
      <c r="C19" s="14" t="s">
        <v>33</v>
      </c>
    </row>
    <row r="20" spans="1:26">
      <c r="C20" s="1"/>
      <c r="D20" s="1"/>
      <c r="E20" s="1"/>
      <c r="F20" s="1"/>
      <c r="G20" s="1"/>
      <c r="H20" s="1"/>
    </row>
    <row r="21" spans="1:26">
      <c r="C21" s="1"/>
      <c r="D21" s="1"/>
      <c r="E21" s="1"/>
      <c r="F21" s="1"/>
      <c r="G21" s="1"/>
      <c r="H21" s="1"/>
    </row>
    <row r="22" spans="1:26">
      <c r="A22" t="s">
        <v>34</v>
      </c>
      <c r="B22" s="1">
        <v>0</v>
      </c>
      <c r="C22" s="1">
        <v>4.1666666666666699E-2</v>
      </c>
      <c r="D22" s="1">
        <v>8.3333333333333301E-2</v>
      </c>
      <c r="E22" s="1">
        <v>0.125</v>
      </c>
      <c r="F22" s="1">
        <v>0.16666666666666699</v>
      </c>
      <c r="G22" s="1">
        <v>0.20833333333333301</v>
      </c>
      <c r="H22" s="1">
        <v>0.25</v>
      </c>
      <c r="I22" s="1">
        <v>0.29166666666666702</v>
      </c>
      <c r="J22" s="1">
        <v>0.33333333333333298</v>
      </c>
      <c r="K22" s="1">
        <v>0.375</v>
      </c>
      <c r="L22" s="1">
        <v>0.41666666666666702</v>
      </c>
      <c r="M22" s="1">
        <v>0.45833333333333398</v>
      </c>
      <c r="N22" s="1">
        <v>0.500000000000001</v>
      </c>
      <c r="O22" s="1">
        <v>0.54166666666666796</v>
      </c>
      <c r="P22" s="1">
        <v>0.58333333333333504</v>
      </c>
      <c r="Q22" s="1">
        <v>0.625000000000002</v>
      </c>
      <c r="R22" s="1">
        <v>0.66666666666666896</v>
      </c>
      <c r="S22" s="1">
        <v>0.70833333333333603</v>
      </c>
      <c r="T22" s="1">
        <v>0.750000000000003</v>
      </c>
      <c r="U22" s="1">
        <v>0.79166666666666996</v>
      </c>
      <c r="V22" s="1">
        <v>0.83333333333333703</v>
      </c>
      <c r="W22" s="1">
        <v>0.875000000000004</v>
      </c>
      <c r="X22" s="1">
        <v>0.91666666666667096</v>
      </c>
      <c r="Y22" s="1">
        <v>0.95833333333333803</v>
      </c>
      <c r="Z22" s="1"/>
    </row>
    <row r="23" spans="1:26">
      <c r="A23" t="s">
        <v>35</v>
      </c>
      <c r="B23" s="8">
        <v>0</v>
      </c>
      <c r="C23" s="8">
        <v>10.4</v>
      </c>
      <c r="D23" s="8">
        <v>0.8</v>
      </c>
      <c r="E23" s="8">
        <v>41.4</v>
      </c>
      <c r="F23" s="8">
        <v>0.8</v>
      </c>
      <c r="G23" s="8">
        <v>0</v>
      </c>
      <c r="H23" s="8">
        <v>0</v>
      </c>
      <c r="I23" s="8">
        <v>0</v>
      </c>
      <c r="J23" s="8">
        <v>0</v>
      </c>
      <c r="K23" s="8">
        <v>0</v>
      </c>
      <c r="L23" s="8">
        <v>0</v>
      </c>
      <c r="M23" s="8">
        <v>0</v>
      </c>
      <c r="N23" s="8">
        <v>0</v>
      </c>
      <c r="O23" s="8">
        <v>0</v>
      </c>
      <c r="P23" s="8">
        <v>0</v>
      </c>
      <c r="Q23" s="8">
        <v>0</v>
      </c>
      <c r="R23" s="8">
        <v>0</v>
      </c>
      <c r="S23" s="8">
        <v>0</v>
      </c>
      <c r="T23" s="8">
        <v>0</v>
      </c>
      <c r="U23" s="8">
        <v>0</v>
      </c>
      <c r="V23" s="8">
        <v>0</v>
      </c>
      <c r="W23" s="8">
        <v>0</v>
      </c>
      <c r="X23" s="8">
        <v>0</v>
      </c>
      <c r="Y23" s="8">
        <v>0</v>
      </c>
    </row>
    <row r="24" spans="1:26">
      <c r="A24" s="12" t="s">
        <v>36</v>
      </c>
      <c r="B24" s="13">
        <f>B23*0.03937</f>
        <v>0</v>
      </c>
      <c r="C24" s="13">
        <f>C23*0.03937</f>
        <v>0.40944800000000003</v>
      </c>
      <c r="D24" s="13">
        <f>D23*0.03937</f>
        <v>3.1496000000000003E-2</v>
      </c>
      <c r="E24" s="13">
        <f>E23*0.03937</f>
        <v>1.629918</v>
      </c>
      <c r="F24" s="13">
        <f>F23*0.03937</f>
        <v>3.1496000000000003E-2</v>
      </c>
      <c r="G24" s="13">
        <f>G23*0.03937</f>
        <v>0</v>
      </c>
      <c r="H24" s="13">
        <f>H23*0.03937</f>
        <v>0</v>
      </c>
      <c r="I24" s="13">
        <f>I23*0.03937</f>
        <v>0</v>
      </c>
      <c r="J24" s="13">
        <f>J23*0.03937</f>
        <v>0</v>
      </c>
      <c r="K24" s="13">
        <f>K23*0.03937</f>
        <v>0</v>
      </c>
      <c r="L24" s="13">
        <f>L23*0.03937</f>
        <v>0</v>
      </c>
      <c r="M24" s="13">
        <f>M23*0.03937</f>
        <v>0</v>
      </c>
      <c r="N24" s="13">
        <f>N23*0.03937</f>
        <v>0</v>
      </c>
      <c r="O24" s="13">
        <f t="shared" ref="O24:Y24" si="0">O23*0.03937</f>
        <v>0</v>
      </c>
      <c r="P24" s="13">
        <f t="shared" si="0"/>
        <v>0</v>
      </c>
      <c r="Q24" s="13">
        <f t="shared" si="0"/>
        <v>0</v>
      </c>
      <c r="R24" s="13">
        <f t="shared" si="0"/>
        <v>0</v>
      </c>
      <c r="S24" s="13">
        <f t="shared" si="0"/>
        <v>0</v>
      </c>
      <c r="T24" s="13">
        <f t="shared" si="0"/>
        <v>0</v>
      </c>
      <c r="U24" s="13">
        <f t="shared" si="0"/>
        <v>0</v>
      </c>
      <c r="V24" s="13">
        <f t="shared" si="0"/>
        <v>0</v>
      </c>
      <c r="W24" s="13">
        <f t="shared" si="0"/>
        <v>0</v>
      </c>
      <c r="X24" s="13">
        <f t="shared" si="0"/>
        <v>0</v>
      </c>
      <c r="Y24" s="13">
        <f t="shared" si="0"/>
        <v>0</v>
      </c>
    </row>
    <row r="26" spans="1:26">
      <c r="A26" t="s">
        <v>37</v>
      </c>
      <c r="B26">
        <v>0</v>
      </c>
      <c r="C26" s="9">
        <f>B30</f>
        <v>0</v>
      </c>
      <c r="D26" s="9">
        <f>C30</f>
        <v>36520.358400000005</v>
      </c>
      <c r="E26" s="9">
        <f t="shared" ref="E26:M26" si="1">D30</f>
        <v>34943.155200000008</v>
      </c>
      <c r="F26" s="9">
        <f t="shared" si="1"/>
        <v>69120</v>
      </c>
      <c r="G26" s="9">
        <f t="shared" si="1"/>
        <v>69120</v>
      </c>
      <c r="H26" s="9">
        <f t="shared" si="1"/>
        <v>64368</v>
      </c>
      <c r="I26" s="9">
        <f t="shared" si="1"/>
        <v>59616</v>
      </c>
      <c r="J26" s="9">
        <f t="shared" si="1"/>
        <v>54864</v>
      </c>
      <c r="K26" s="9">
        <f t="shared" si="1"/>
        <v>50112</v>
      </c>
      <c r="L26" s="9">
        <f t="shared" si="1"/>
        <v>45360</v>
      </c>
      <c r="M26" s="9">
        <f t="shared" si="1"/>
        <v>40608</v>
      </c>
      <c r="N26" s="9">
        <f t="shared" ref="N26:Y26" si="2">M30</f>
        <v>35856</v>
      </c>
      <c r="O26" s="9">
        <f t="shared" si="2"/>
        <v>31104</v>
      </c>
      <c r="P26" s="9">
        <f t="shared" si="2"/>
        <v>26352</v>
      </c>
      <c r="Q26" s="9">
        <f t="shared" si="2"/>
        <v>21600</v>
      </c>
      <c r="R26" s="9">
        <f t="shared" si="2"/>
        <v>16848</v>
      </c>
      <c r="S26" s="9">
        <f t="shared" si="2"/>
        <v>12096</v>
      </c>
      <c r="T26" s="9">
        <f t="shared" si="2"/>
        <v>7344</v>
      </c>
      <c r="U26" s="9">
        <f t="shared" si="2"/>
        <v>2592</v>
      </c>
      <c r="V26" s="9">
        <f t="shared" si="2"/>
        <v>0</v>
      </c>
      <c r="W26" s="9">
        <f t="shared" si="2"/>
        <v>0</v>
      </c>
      <c r="X26" s="9">
        <f t="shared" si="2"/>
        <v>0</v>
      </c>
      <c r="Y26" s="9">
        <f t="shared" si="2"/>
        <v>0</v>
      </c>
    </row>
    <row r="27" spans="1:26">
      <c r="A27" t="s">
        <v>38</v>
      </c>
      <c r="B27" s="9">
        <f>(B24*12*12)*$B$9</f>
        <v>0</v>
      </c>
      <c r="C27" s="9">
        <f>(C24*12*12)*$B$9</f>
        <v>41272.358400000005</v>
      </c>
      <c r="D27" s="9">
        <f>(D24*12*12)*$B$9</f>
        <v>3174.7968000000005</v>
      </c>
      <c r="E27" s="9">
        <f t="shared" ref="E27:N27" si="3">(E24*12*12)*$B$9</f>
        <v>164295.73439999999</v>
      </c>
      <c r="F27" s="9">
        <f t="shared" si="3"/>
        <v>3174.7968000000005</v>
      </c>
      <c r="G27" s="9">
        <f t="shared" si="3"/>
        <v>0</v>
      </c>
      <c r="H27" s="9">
        <f t="shared" si="3"/>
        <v>0</v>
      </c>
      <c r="I27" s="9">
        <f t="shared" si="3"/>
        <v>0</v>
      </c>
      <c r="J27" s="9">
        <f>(J24*12*12)*$B$9</f>
        <v>0</v>
      </c>
      <c r="K27" s="9">
        <f t="shared" si="3"/>
        <v>0</v>
      </c>
      <c r="L27" s="9">
        <f t="shared" si="3"/>
        <v>0</v>
      </c>
      <c r="M27" s="9">
        <f t="shared" si="3"/>
        <v>0</v>
      </c>
      <c r="N27" s="9">
        <f t="shared" ref="N27:Y27" si="4">(N24*12*12)*$B$9</f>
        <v>0</v>
      </c>
      <c r="O27" s="9">
        <f t="shared" si="4"/>
        <v>0</v>
      </c>
      <c r="P27" s="9">
        <f t="shared" si="4"/>
        <v>0</v>
      </c>
      <c r="Q27" s="9">
        <f t="shared" si="4"/>
        <v>0</v>
      </c>
      <c r="R27" s="9">
        <f t="shared" si="4"/>
        <v>0</v>
      </c>
      <c r="S27" s="9">
        <f t="shared" si="4"/>
        <v>0</v>
      </c>
      <c r="T27" s="9">
        <f t="shared" si="4"/>
        <v>0</v>
      </c>
      <c r="U27" s="9">
        <f t="shared" si="4"/>
        <v>0</v>
      </c>
      <c r="V27" s="9">
        <f t="shared" si="4"/>
        <v>0</v>
      </c>
      <c r="W27" s="9">
        <f t="shared" si="4"/>
        <v>0</v>
      </c>
      <c r="X27" s="9">
        <f t="shared" si="4"/>
        <v>0</v>
      </c>
      <c r="Y27" s="9">
        <f t="shared" si="4"/>
        <v>0</v>
      </c>
    </row>
    <row r="28" spans="1:26">
      <c r="A28" t="s">
        <v>39</v>
      </c>
      <c r="B28" s="9" cm="1">
        <f t="array" ref="B28">_xlfn.IFS(AND($B$19&gt;B26+B27,B26+B27&gt;0),B26,B26+B27&gt;$B$19,$B$19,B26+B27=0,0)</f>
        <v>0</v>
      </c>
      <c r="C28" s="9" cm="1">
        <f t="array" ref="C28">_xlfn.IFS(AND($B$19&gt;C26+C27,C26+C27&gt;0),C26,C26+C27&gt;$B$19,$B$19,C26+C27=0,0)</f>
        <v>4752</v>
      </c>
      <c r="D28" s="9" cm="1">
        <f t="array" ref="D28">_xlfn.IFS(AND($B$19&gt;D26+D27,D26+D27&gt;0),D26,D26+D27&gt;$B$19,$B$19,D26+D27=0,0)</f>
        <v>4752</v>
      </c>
      <c r="E28" s="9" cm="1">
        <f t="array" ref="E28">_xlfn.IFS(AND($B$19&gt;E26+E27,E26+E27&gt;0),E26,E26+E27&gt;$B$19,$B$19,E26+E27=0,0)</f>
        <v>4752</v>
      </c>
      <c r="F28" s="9" cm="1">
        <f t="array" ref="F28">_xlfn.IFS(AND($B$19&gt;F26+F27,F26+F27&gt;0),F26,F26+F27&gt;$B$19,$B$19,F26+F27=0,0)</f>
        <v>4752</v>
      </c>
      <c r="G28" s="9" cm="1">
        <f t="array" ref="G28">_xlfn.IFS(AND($B$19&gt;G26+G27,G26+G27&gt;0),G26,G26+G27&gt;$B$19,$B$19,G26+G27=0,0)</f>
        <v>4752</v>
      </c>
      <c r="H28" s="9" cm="1">
        <f t="array" ref="H28">_xlfn.IFS(AND($B$19&gt;H26+H27,H26+H27&gt;0),H26,H26+H27&gt;$B$19,$B$19,H26+H27=0,0)</f>
        <v>4752</v>
      </c>
      <c r="I28" s="9" cm="1">
        <f t="array" ref="I28">_xlfn.IFS(AND($B$19&gt;I26+I27,I26+I27&gt;0),I26,I26+I27&gt;$B$19,$B$19,I26+I27=0,0)</f>
        <v>4752</v>
      </c>
      <c r="J28" s="9" cm="1">
        <f t="array" ref="J28">_xlfn.IFS(AND($B$19&gt;J26+J27,J26+J27&gt;0),J26,J26+J27&gt;$B$19,$B$19,J26+J27=0,0)</f>
        <v>4752</v>
      </c>
      <c r="K28" s="9" cm="1">
        <f t="array" ref="K28">_xlfn.IFS(AND($B$19&gt;K26+K27,K26+K27&gt;0),K26,K26+K27&gt;$B$19,$B$19,K26+K27=0,0)</f>
        <v>4752</v>
      </c>
      <c r="L28" s="9" cm="1">
        <f t="array" ref="L28">_xlfn.IFS(AND($B$19&gt;L26+L27,L26+L27&gt;0),L26,L26+L27&gt;$B$19,$B$19,L26+L27=0,0)</f>
        <v>4752</v>
      </c>
      <c r="M28" s="9" cm="1">
        <f t="array" ref="M28">_xlfn.IFS(AND($B$19&gt;M26+M27,M26+M27&gt;0),M26,M26+M27&gt;$B$19,$B$19,M26+M27=0,0)</f>
        <v>4752</v>
      </c>
      <c r="N28" s="9" cm="1">
        <f t="array" ref="N28">_xlfn.IFS(AND($B$19&gt;N26+N27,N26+N27&gt;0),N26,N26+N27&gt;$B$19,$B$19,N26+N27=0,0)</f>
        <v>4752</v>
      </c>
      <c r="O28" s="9" cm="1">
        <f t="array" ref="O28">_xlfn.IFS(AND($B$19&gt;O26+O27,O26+O27&gt;0),O26,O26+O27&gt;$B$19,$B$19,O26+O27=0,0)</f>
        <v>4752</v>
      </c>
      <c r="P28" s="9" cm="1">
        <f t="array" ref="P28">_xlfn.IFS(AND($B$19&gt;P26+P27,P26+P27&gt;0),P26,P26+P27&gt;$B$19,$B$19,P26+P27=0,0)</f>
        <v>4752</v>
      </c>
      <c r="Q28" s="9" cm="1">
        <f t="array" ref="Q28">_xlfn.IFS(AND($B$19&gt;Q26+Q27,Q26+Q27&gt;0),Q26,Q26+Q27&gt;$B$19,$B$19,Q26+Q27=0,0)</f>
        <v>4752</v>
      </c>
      <c r="R28" s="9" cm="1">
        <f t="array" ref="R28">_xlfn.IFS(AND($B$19&gt;R26+R27,R26+R27&gt;0),R26,R26+R27&gt;$B$19,$B$19,R26+R27=0,0)</f>
        <v>4752</v>
      </c>
      <c r="S28" s="9" cm="1">
        <f t="array" ref="S28">_xlfn.IFS(AND($B$19&gt;S26+S27,S26+S27&gt;0),S26,S26+S27&gt;$B$19,$B$19,S26+S27=0,0)</f>
        <v>4752</v>
      </c>
      <c r="T28" s="9" cm="1">
        <f t="array" ref="T28">_xlfn.IFS(AND($B$19&gt;T26+T27,T26+T27&gt;0),T26,T26+T27&gt;$B$19,$B$19,T26+T27=0,0)</f>
        <v>4752</v>
      </c>
      <c r="U28" s="9" cm="1">
        <f t="array" ref="U28">_xlfn.IFS(AND($B$19&gt;U26+U27,U26+U27&gt;0),U26,U26+U27&gt;$B$19,$B$19,U26+U27=0,0)</f>
        <v>2592</v>
      </c>
      <c r="V28" s="9" cm="1">
        <f t="array" ref="V28">_xlfn.IFS(AND($B$19&gt;V26+V27,V26+V27&gt;0),V26,V26+V27&gt;$B$19,$B$19,V26+V27=0,0)</f>
        <v>0</v>
      </c>
      <c r="W28" s="9" cm="1">
        <f t="array" ref="W28">_xlfn.IFS(AND($B$19&gt;W26+W27,W26+W27&gt;0),W26,W26+W27&gt;$B$19,$B$19,W26+W27=0,0)</f>
        <v>0</v>
      </c>
      <c r="X28" s="9" cm="1">
        <f t="array" ref="X28">_xlfn.IFS(AND($B$19&gt;X26+X27,X26+X27&gt;0),X26,X26+X27&gt;$B$19,$B$19,X26+X27=0,0)</f>
        <v>0</v>
      </c>
      <c r="Y28" s="9" cm="1">
        <f t="array" ref="Y28">_xlfn.IFS(AND($B$19&gt;Y26+Y27,Y26+Y27&gt;0),Y26,Y26+Y27&gt;$B$19,$B$19,Y26+Y27=0,0)</f>
        <v>0</v>
      </c>
    </row>
    <row r="29" spans="1:26">
      <c r="A29" t="s">
        <v>40</v>
      </c>
      <c r="B29" s="9" t="str">
        <f>IF(SUM(B26+B27&gt;($B$14*12^3)),"yes","no")</f>
        <v>no</v>
      </c>
      <c r="C29" s="9" t="str">
        <f>IF(SUM(C26+C27&gt;($B$14*12^3)),"yes","no")</f>
        <v>no</v>
      </c>
      <c r="D29" s="9" t="str">
        <f t="shared" ref="D29:Y29" si="5">IF(SUM(D26+D27&gt;($B$14*12^3)),"yes","no")</f>
        <v>no</v>
      </c>
      <c r="E29" s="9" t="str">
        <f t="shared" si="5"/>
        <v>yes</v>
      </c>
      <c r="F29" s="9" t="str">
        <f t="shared" si="5"/>
        <v>yes</v>
      </c>
      <c r="G29" s="9" t="str">
        <f t="shared" si="5"/>
        <v>no</v>
      </c>
      <c r="H29" s="9" t="str">
        <f t="shared" si="5"/>
        <v>no</v>
      </c>
      <c r="I29" s="9" t="str">
        <f t="shared" si="5"/>
        <v>no</v>
      </c>
      <c r="J29" s="9" t="str">
        <f t="shared" si="5"/>
        <v>no</v>
      </c>
      <c r="K29" s="9" t="str">
        <f t="shared" si="5"/>
        <v>no</v>
      </c>
      <c r="L29" s="9" t="str">
        <f t="shared" si="5"/>
        <v>no</v>
      </c>
      <c r="M29" s="9" t="str">
        <f t="shared" si="5"/>
        <v>no</v>
      </c>
      <c r="N29" s="9" t="str">
        <f t="shared" si="5"/>
        <v>no</v>
      </c>
      <c r="O29" s="9" t="str">
        <f t="shared" si="5"/>
        <v>no</v>
      </c>
      <c r="P29" s="9" t="str">
        <f t="shared" si="5"/>
        <v>no</v>
      </c>
      <c r="Q29" s="9" t="str">
        <f t="shared" si="5"/>
        <v>no</v>
      </c>
      <c r="R29" s="9" t="str">
        <f t="shared" si="5"/>
        <v>no</v>
      </c>
      <c r="S29" s="9" t="str">
        <f t="shared" si="5"/>
        <v>no</v>
      </c>
      <c r="T29" s="9" t="str">
        <f t="shared" si="5"/>
        <v>no</v>
      </c>
      <c r="U29" s="9" t="str">
        <f t="shared" si="5"/>
        <v>no</v>
      </c>
      <c r="V29" s="9" t="str">
        <f t="shared" si="5"/>
        <v>no</v>
      </c>
      <c r="W29" s="9" t="str">
        <f t="shared" si="5"/>
        <v>no</v>
      </c>
      <c r="X29" s="9" t="str">
        <f t="shared" si="5"/>
        <v>no</v>
      </c>
      <c r="Y29" s="9" t="str">
        <f t="shared" si="5"/>
        <v>no</v>
      </c>
    </row>
    <row r="30" spans="1:26">
      <c r="A30" t="s">
        <v>41</v>
      </c>
      <c r="B30" s="9" cm="1">
        <f t="array" ref="B30">_xlfn.IFS(B26+B27-B28&lt;0,0,B29="no",B26+B27-B28,B29="yes",$B$14*12^3)</f>
        <v>0</v>
      </c>
      <c r="C30" s="9" cm="1">
        <f t="array" ref="C30">_xlfn.IFS(C26+C27-C28&lt;0,0,C29="no",C26+C27-C28,C29="yes",$B$14*12^3)</f>
        <v>36520.358400000005</v>
      </c>
      <c r="D30" s="9" cm="1">
        <f t="array" ref="D30">_xlfn.IFS(D26+D27-D28&lt;0,0,D29="no",D26+D27-D28,D29="yes",$B$14*12^3)</f>
        <v>34943.155200000008</v>
      </c>
      <c r="E30" s="9" cm="1">
        <f t="array" ref="E30">_xlfn.IFS(E26+E27-E28&lt;0,0,E29="no",E26+E27-E28,E29="yes",$B$14*12^3)</f>
        <v>69120</v>
      </c>
      <c r="F30" s="9" cm="1">
        <f t="array" ref="F30">_xlfn.IFS(F26+F27-F28&lt;0,0,F29="no",F26+F27-F28,F29="yes",$B$14*12^3)</f>
        <v>69120</v>
      </c>
      <c r="G30" s="9" cm="1">
        <f t="array" ref="G30">_xlfn.IFS(G26+G27-G28&lt;0,0,G29="no",G26+G27-G28,G29="yes",$B$14*12^3)</f>
        <v>64368</v>
      </c>
      <c r="H30" s="9" cm="1">
        <f t="array" ref="H30">_xlfn.IFS(H26+H27-H28&lt;0,0,H29="no",H26+H27-H28,H29="yes",$B$14*12^3)</f>
        <v>59616</v>
      </c>
      <c r="I30" s="9" cm="1">
        <f t="array" ref="I30">_xlfn.IFS(I26+I27-I28&lt;0,0,I29="no",I26+I27-I28,I29="yes",$B$14*12^3)</f>
        <v>54864</v>
      </c>
      <c r="J30" s="9" cm="1">
        <f t="array" ref="J30">_xlfn.IFS(J26+J27-J28&lt;0,0,J29="no",J26+J27-J28,J29="yes",$B$14*12^3)</f>
        <v>50112</v>
      </c>
      <c r="K30" s="9" cm="1">
        <f t="array" ref="K30">_xlfn.IFS(K26+K27-K28&lt;0,0,K29="no",K26+K27-K28,K29="yes",$B$14*12^3)</f>
        <v>45360</v>
      </c>
      <c r="L30" s="9" cm="1">
        <f t="array" ref="L30">_xlfn.IFS(L26+L27-L28&lt;0,0,L29="no",L26+L27-L28,L29="yes",$B$14*12^3)</f>
        <v>40608</v>
      </c>
      <c r="M30" s="9" cm="1">
        <f t="array" ref="M30">_xlfn.IFS(M26+M27-M28&lt;0,0,M29="no",M26+M27-M28,M29="yes",$B$14*12^3)</f>
        <v>35856</v>
      </c>
      <c r="N30" s="9" cm="1">
        <f t="array" ref="N30">_xlfn.IFS(N26+N27-N28&lt;0,0,N29="no",N26+N27-N28,N29="yes",$B$14*12^3)</f>
        <v>31104</v>
      </c>
      <c r="O30" s="9" cm="1">
        <f t="array" ref="O30">_xlfn.IFS(O26+O27-O28&lt;0,0,O29="no",O26+O27-O28,O29="yes",$B$14*12^3)</f>
        <v>26352</v>
      </c>
      <c r="P30" s="9" cm="1">
        <f t="array" ref="P30">_xlfn.IFS(P26+P27-P28&lt;0,0,P29="no",P26+P27-P28,P29="yes",$B$14*12^3)</f>
        <v>21600</v>
      </c>
      <c r="Q30" s="9" cm="1">
        <f t="array" ref="Q30">_xlfn.IFS(Q26+Q27-Q28&lt;0,0,Q29="no",Q26+Q27-Q28,Q29="yes",$B$14*12^3)</f>
        <v>16848</v>
      </c>
      <c r="R30" s="9" cm="1">
        <f t="array" ref="R30">_xlfn.IFS(R26+R27-R28&lt;0,0,R29="no",R26+R27-R28,R29="yes",$B$14*12^3)</f>
        <v>12096</v>
      </c>
      <c r="S30" s="9" cm="1">
        <f t="array" ref="S30">_xlfn.IFS(S26+S27-S28&lt;0,0,S29="no",S26+S27-S28,S29="yes",$B$14*12^3)</f>
        <v>7344</v>
      </c>
      <c r="T30" s="9" cm="1">
        <f t="array" ref="T30">_xlfn.IFS(T26+T27-T28&lt;0,0,T29="no",T26+T27-T28,T29="yes",$B$14*12^3)</f>
        <v>2592</v>
      </c>
      <c r="U30" s="9" cm="1">
        <f t="array" ref="U30">_xlfn.IFS(U26+U27-U28&lt;0,0,U29="no",U26+U27-U28,U29="yes",$B$14*12^3)</f>
        <v>0</v>
      </c>
      <c r="V30" s="9">
        <f t="shared" ref="D30:Y30" si="6">IF(V29="no",V26+V27-V28,$B$14*12^3)</f>
        <v>0</v>
      </c>
      <c r="W30" s="9">
        <f t="shared" si="6"/>
        <v>0</v>
      </c>
      <c r="X30" s="9">
        <f t="shared" si="6"/>
        <v>0</v>
      </c>
      <c r="Y30" s="9"/>
    </row>
    <row r="31" spans="1:26">
      <c r="A31" t="s">
        <v>42</v>
      </c>
      <c r="B31" s="9">
        <f>B30/12^3</f>
        <v>0</v>
      </c>
      <c r="C31" s="9">
        <f t="shared" ref="C31:M31" si="7">C30/12^3</f>
        <v>21.134466666666668</v>
      </c>
      <c r="D31" s="9">
        <f t="shared" si="7"/>
        <v>20.221733333333336</v>
      </c>
      <c r="E31" s="9">
        <f t="shared" si="7"/>
        <v>40</v>
      </c>
      <c r="F31" s="9">
        <f t="shared" si="7"/>
        <v>40</v>
      </c>
      <c r="G31" s="9">
        <f t="shared" si="7"/>
        <v>37.25</v>
      </c>
      <c r="H31" s="9">
        <f t="shared" si="7"/>
        <v>34.5</v>
      </c>
      <c r="I31" s="9">
        <f t="shared" si="7"/>
        <v>31.75</v>
      </c>
      <c r="J31" s="9">
        <f t="shared" si="7"/>
        <v>29</v>
      </c>
      <c r="K31" s="9">
        <f t="shared" si="7"/>
        <v>26.25</v>
      </c>
      <c r="L31" s="9">
        <f t="shared" si="7"/>
        <v>23.5</v>
      </c>
      <c r="M31" s="9">
        <f t="shared" si="7"/>
        <v>20.75</v>
      </c>
      <c r="N31" s="9">
        <f t="shared" ref="N31" si="8">N30/12^3</f>
        <v>18</v>
      </c>
      <c r="O31" s="9">
        <f t="shared" ref="O31" si="9">O30/12^3</f>
        <v>15.25</v>
      </c>
      <c r="P31" s="9">
        <f t="shared" ref="P31" si="10">P30/12^3</f>
        <v>12.5</v>
      </c>
      <c r="Q31" s="9">
        <f t="shared" ref="Q31" si="11">Q30/12^3</f>
        <v>9.75</v>
      </c>
      <c r="R31" s="9">
        <f t="shared" ref="R31" si="12">R30/12^3</f>
        <v>7</v>
      </c>
      <c r="S31" s="9">
        <f t="shared" ref="S31" si="13">S30/12^3</f>
        <v>4.25</v>
      </c>
      <c r="T31" s="9">
        <f t="shared" ref="T31" si="14">T30/12^3</f>
        <v>1.5</v>
      </c>
      <c r="U31" s="9">
        <f t="shared" ref="U31" si="15">U30/12^3</f>
        <v>0</v>
      </c>
      <c r="V31" s="9">
        <f t="shared" ref="V31" si="16">V30/12^3</f>
        <v>0</v>
      </c>
      <c r="W31" s="9">
        <f t="shared" ref="W31" si="17">W30/12^3</f>
        <v>0</v>
      </c>
      <c r="X31" s="9">
        <f t="shared" ref="X31" si="18">X30/12^3</f>
        <v>0</v>
      </c>
      <c r="Y31" s="9">
        <f t="shared" ref="Y31" si="19">Y30/12^3</f>
        <v>0</v>
      </c>
    </row>
    <row r="34" spans="1:2">
      <c r="A34" s="6" t="s">
        <v>43</v>
      </c>
      <c r="B34" s="19">
        <f>SUM(C28:Y28)/12^3</f>
        <v>51</v>
      </c>
    </row>
  </sheetData>
  <hyperlinks>
    <hyperlink ref="B4" r:id="rId1" xr:uid="{672AA922-23B8-4B89-8518-47F257154D0A}"/>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758DC-0D77-4916-9F23-F88F98AAF488}">
  <dimension ref="A1:B18"/>
  <sheetViews>
    <sheetView workbookViewId="0">
      <selection activeCell="B13" sqref="B13"/>
    </sheetView>
  </sheetViews>
  <sheetFormatPr defaultRowHeight="15"/>
  <cols>
    <col min="1" max="1" width="33" customWidth="1"/>
  </cols>
  <sheetData>
    <row r="1" spans="1:2" ht="21">
      <c r="A1" s="7" t="s">
        <v>49</v>
      </c>
    </row>
    <row r="2" spans="1:2">
      <c r="A2" t="s">
        <v>50</v>
      </c>
    </row>
    <row r="4" spans="1:2">
      <c r="B4" t="s">
        <v>51</v>
      </c>
    </row>
    <row r="5" spans="1:2">
      <c r="A5" t="s">
        <v>52</v>
      </c>
      <c r="B5">
        <v>1.25</v>
      </c>
    </row>
    <row r="6" spans="1:2">
      <c r="A6" t="s">
        <v>53</v>
      </c>
      <c r="B6">
        <v>1.06</v>
      </c>
    </row>
    <row r="7" spans="1:2">
      <c r="A7" t="s">
        <v>54</v>
      </c>
      <c r="B7">
        <v>0.94</v>
      </c>
    </row>
    <row r="8" spans="1:2">
      <c r="A8" t="s">
        <v>55</v>
      </c>
      <c r="B8">
        <v>0.88</v>
      </c>
    </row>
    <row r="9" spans="1:2">
      <c r="A9" t="s">
        <v>56</v>
      </c>
      <c r="B9">
        <v>0.75</v>
      </c>
    </row>
    <row r="10" spans="1:2">
      <c r="A10" t="s">
        <v>57</v>
      </c>
      <c r="B10">
        <v>0.63</v>
      </c>
    </row>
    <row r="11" spans="1:2">
      <c r="A11" t="s">
        <v>58</v>
      </c>
      <c r="B11">
        <v>0.59</v>
      </c>
    </row>
    <row r="12" spans="1:2">
      <c r="A12" t="s">
        <v>55</v>
      </c>
      <c r="B12">
        <v>0.54</v>
      </c>
    </row>
    <row r="13" spans="1:2">
      <c r="A13" t="s">
        <v>59</v>
      </c>
      <c r="B13">
        <v>0.5</v>
      </c>
    </row>
    <row r="14" spans="1:2">
      <c r="A14" t="s">
        <v>60</v>
      </c>
      <c r="B14">
        <v>0.44</v>
      </c>
    </row>
    <row r="15" spans="1:2">
      <c r="A15" t="s">
        <v>61</v>
      </c>
      <c r="B15">
        <v>0.31</v>
      </c>
    </row>
    <row r="16" spans="1:2">
      <c r="A16" t="s">
        <v>62</v>
      </c>
      <c r="B16">
        <v>0.25</v>
      </c>
    </row>
    <row r="17" spans="1:2">
      <c r="A17" t="s">
        <v>63</v>
      </c>
      <c r="B17">
        <v>0.19</v>
      </c>
    </row>
    <row r="18" spans="1:2">
      <c r="A18" t="s">
        <v>64</v>
      </c>
      <c r="B18">
        <v>0.13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FC4B2-874E-4394-A0E0-9E2EE35665A0}">
  <dimension ref="A1:B15"/>
  <sheetViews>
    <sheetView workbookViewId="0">
      <selection activeCell="G16" sqref="G16"/>
    </sheetView>
  </sheetViews>
  <sheetFormatPr defaultRowHeight="15"/>
  <cols>
    <col min="1" max="1" width="39.42578125" customWidth="1"/>
  </cols>
  <sheetData>
    <row r="1" spans="1:2" ht="21">
      <c r="A1" s="7" t="s">
        <v>65</v>
      </c>
    </row>
    <row r="2" spans="1:2">
      <c r="A2" t="s">
        <v>66</v>
      </c>
    </row>
    <row r="4" spans="1:2">
      <c r="A4" s="6" t="s">
        <v>67</v>
      </c>
    </row>
    <row r="5" spans="1:2">
      <c r="A5" t="s">
        <v>68</v>
      </c>
      <c r="B5" t="s">
        <v>69</v>
      </c>
    </row>
    <row r="6" spans="1:2">
      <c r="A6" t="s">
        <v>70</v>
      </c>
      <c r="B6" t="s">
        <v>71</v>
      </c>
    </row>
    <row r="7" spans="1:2">
      <c r="A7" t="s">
        <v>72</v>
      </c>
      <c r="B7" t="s">
        <v>73</v>
      </c>
    </row>
    <row r="9" spans="1:2">
      <c r="A9" s="6" t="s">
        <v>74</v>
      </c>
    </row>
    <row r="10" spans="1:2">
      <c r="A10" t="s">
        <v>75</v>
      </c>
      <c r="B10" t="s">
        <v>76</v>
      </c>
    </row>
    <row r="11" spans="1:2">
      <c r="A11" t="s">
        <v>77</v>
      </c>
      <c r="B11" t="s">
        <v>78</v>
      </c>
    </row>
    <row r="12" spans="1:2">
      <c r="A12" t="s">
        <v>79</v>
      </c>
      <c r="B12" t="s">
        <v>80</v>
      </c>
    </row>
    <row r="14" spans="1:2">
      <c r="A14" s="6" t="s">
        <v>81</v>
      </c>
      <c r="B14" t="s">
        <v>82</v>
      </c>
    </row>
    <row r="15" spans="1:2">
      <c r="A15" s="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7d7c0a7-1530-44b6-b7a3-e1fc64f70b52">
      <Terms xmlns="http://schemas.microsoft.com/office/infopath/2007/PartnerControls"/>
    </lcf76f155ced4ddcb4097134ff3c332f>
    <TaxCatchAll xmlns="eb08798d-18c9-449f-9ef3-a95e6f0a4aa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8867E47CE741418CD22BD3CE8F4A74" ma:contentTypeVersion="18" ma:contentTypeDescription="Create a new document." ma:contentTypeScope="" ma:versionID="7e19f85c4e8277edec035dc073a6f1b1">
  <xsd:schema xmlns:xsd="http://www.w3.org/2001/XMLSchema" xmlns:xs="http://www.w3.org/2001/XMLSchema" xmlns:p="http://schemas.microsoft.com/office/2006/metadata/properties" xmlns:ns2="87d7c0a7-1530-44b6-b7a3-e1fc64f70b52" xmlns:ns3="eb08798d-18c9-449f-9ef3-a95e6f0a4aaa" targetNamespace="http://schemas.microsoft.com/office/2006/metadata/properties" ma:root="true" ma:fieldsID="3640ac87e274468ae573c69aceb2620e" ns2:_="" ns3:_="">
    <xsd:import namespace="87d7c0a7-1530-44b6-b7a3-e1fc64f70b52"/>
    <xsd:import namespace="eb08798d-18c9-449f-9ef3-a95e6f0a4aa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d7c0a7-1530-44b6-b7a3-e1fc64f70b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045879c-d3b8-4115-980c-fa08303f9d12"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08798d-18c9-449f-9ef3-a95e6f0a4aa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48677c6-75d5-4bf6-9ec6-b58d08d21819}" ma:internalName="TaxCatchAll" ma:showField="CatchAllData" ma:web="eb08798d-18c9-449f-9ef3-a95e6f0a4a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D4CADC-502D-412E-B3B2-86BEFE5F1FFC}"/>
</file>

<file path=customXml/itemProps2.xml><?xml version="1.0" encoding="utf-8"?>
<ds:datastoreItem xmlns:ds="http://schemas.openxmlformats.org/officeDocument/2006/customXml" ds:itemID="{EE25F677-B24B-4AFC-8F43-A2D261E6E936}"/>
</file>

<file path=customXml/itemProps3.xml><?xml version="1.0" encoding="utf-8"?>
<ds:datastoreItem xmlns:ds="http://schemas.openxmlformats.org/officeDocument/2006/customXml" ds:itemID="{B609FC6B-8E51-4207-B68E-AB626AD4AB5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2025-11-18T20:49:03Z</dcterms:created>
  <dcterms:modified xsi:type="dcterms:W3CDTF">2026-01-15T10:24:28Z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0x010100838867E47CE741418CD22BD3CE8F4A74</vt:lpwstr>
  </property>
  <property fmtid="{D5CDD505-2E9C-101B-9397-08002B2CF9AE}" pid="3" name="MediaServiceImageTags">
    <vt:lpwstr/>
  </property>
</Properties>
</file>